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8\YE 2018\!Консо работни файлове\KFN\"/>
    </mc:Choice>
  </mc:AlternateContent>
  <bookViews>
    <workbookView xWindow="0" yWindow="0" windowWidth="23040" windowHeight="7950" tabRatio="814" firstSheet="3" activeTab="1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16" r:id="rId8"/>
    <sheet name="Справка 8.1 България" sheetId="8" r:id="rId9"/>
    <sheet name="Справка 8.2 Латвия" sheetId="9" r:id="rId10"/>
    <sheet name="Справка 8.3 Беларус" sheetId="10" r:id="rId11"/>
    <sheet name="Справка 8.4 САЩ" sheetId="11" r:id="rId12"/>
    <sheet name="Контроли" sheetId="12" state="hidden" r:id="rId13"/>
    <sheet name="Показатели" sheetId="13" state="hidden" r:id="rId14"/>
    <sheet name="Danni" sheetId="14" state="hidden" r:id="rId15"/>
    <sheet name="Nomenklaturi" sheetId="15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52511"/>
  <customWorkbookViews>
    <customWorkbookView name="Antoaneta Ivanova Todorova - Personal View" guid="{17A0B690-90B4-478F-B629-540D801E18FD}" mergeInterval="0" personalView="1" xWindow="959" yWindow="-1" windowWidth="962" windowHeight="1032" tabRatio="814" activeSheetId="6"/>
    <customWorkbookView name="Vladimir Papazov - Personal View" guid="{F2D4D9F9-DE61-45A3-92A2-4E78F2B34B7F}" mergeInterval="0" personalView="1" xWindow="-1" yWindow="-1" windowWidth="960" windowHeight="1042" tabRatio="814" activeSheetId="7"/>
    <customWorkbookView name="Lyudmila Bondzhova - Personal View" guid="{07871067-5294-4FEE-88CE-4A4A5BC97EF0}" mergeInterval="0" personalView="1" maximized="1" xWindow="-9" yWindow="-9" windowWidth="1938" windowHeight="1048" tabRatio="814" activeSheetId="6"/>
  </customWorkbookViews>
</workbook>
</file>

<file path=xl/calcChain.xml><?xml version="1.0" encoding="utf-8"?>
<calcChain xmlns="http://schemas.openxmlformats.org/spreadsheetml/2006/main">
  <c r="E17" i="6" l="1"/>
  <c r="C48" i="4" l="1"/>
  <c r="C47" i="4"/>
  <c r="D48" i="4"/>
  <c r="D47" i="4"/>
  <c r="D90" i="2"/>
  <c r="D89" i="2"/>
  <c r="G21" i="2" l="1"/>
  <c r="C20" i="3" l="1"/>
  <c r="C19" i="3"/>
  <c r="L13" i="6" l="1"/>
  <c r="L14" i="6"/>
  <c r="M13" i="6"/>
  <c r="M14" i="6"/>
  <c r="D75" i="2" l="1"/>
  <c r="F13" i="8" l="1"/>
  <c r="F33" i="6"/>
  <c r="I33" i="6"/>
  <c r="C95" i="7" l="1"/>
  <c r="C74" i="7"/>
  <c r="C39" i="7"/>
  <c r="C20" i="7"/>
  <c r="E41" i="6" l="1"/>
  <c r="L24" i="6"/>
  <c r="L23" i="6"/>
  <c r="E26" i="6"/>
  <c r="F26" i="6"/>
  <c r="F24" i="6"/>
  <c r="E24" i="6"/>
  <c r="F23" i="6"/>
  <c r="E23" i="6"/>
  <c r="M16" i="6"/>
  <c r="L16" i="6"/>
  <c r="F15" i="6"/>
  <c r="E15" i="6"/>
  <c r="E16" i="6"/>
  <c r="F16" i="6"/>
  <c r="E13" i="6"/>
  <c r="F13" i="6"/>
  <c r="M15" i="6"/>
  <c r="L15" i="6"/>
  <c r="M12" i="6"/>
  <c r="L12" i="6"/>
  <c r="F17" i="6"/>
  <c r="E14" i="6"/>
  <c r="E12" i="6"/>
  <c r="E11" i="6"/>
  <c r="M30" i="5" l="1"/>
  <c r="I30" i="5"/>
  <c r="E30" i="5" l="1"/>
  <c r="I20" i="5"/>
  <c r="C42" i="4" l="1"/>
  <c r="C38" i="4"/>
  <c r="C37" i="4"/>
  <c r="C36" i="4"/>
  <c r="C29" i="4"/>
  <c r="C28" i="4"/>
  <c r="C26" i="4"/>
  <c r="C25" i="4"/>
  <c r="C23" i="4"/>
  <c r="C15" i="4"/>
  <c r="C16" i="4"/>
  <c r="G22" i="3" l="1"/>
  <c r="G15" i="3"/>
  <c r="G14" i="3"/>
  <c r="C28" i="3" l="1"/>
  <c r="C25" i="3"/>
  <c r="C16" i="3"/>
  <c r="C15" i="3"/>
  <c r="G69" i="2"/>
  <c r="G49" i="2"/>
  <c r="G29" i="2"/>
  <c r="C90" i="2"/>
  <c r="C89" i="2"/>
  <c r="C75" i="2"/>
  <c r="C60" i="2"/>
  <c r="C51" i="2"/>
  <c r="H13" i="16" l="1"/>
  <c r="F21" i="16" l="1"/>
  <c r="F27" i="16" s="1"/>
  <c r="C21" i="16"/>
  <c r="H17" i="16"/>
  <c r="G17" i="16"/>
  <c r="F17" i="16"/>
  <c r="I17" i="16" s="1"/>
  <c r="C13" i="16"/>
  <c r="C18" i="16" s="1"/>
  <c r="B38" i="16"/>
  <c r="H27" i="16"/>
  <c r="G27" i="16"/>
  <c r="E27" i="16"/>
  <c r="D27" i="16"/>
  <c r="C27" i="16"/>
  <c r="I26" i="16"/>
  <c r="I25" i="16"/>
  <c r="I24" i="16"/>
  <c r="I23" i="16"/>
  <c r="I22" i="16"/>
  <c r="I20" i="16"/>
  <c r="H18" i="16"/>
  <c r="G18" i="16"/>
  <c r="E18" i="16"/>
  <c r="D18" i="16"/>
  <c r="I16" i="16"/>
  <c r="I15" i="16"/>
  <c r="I14" i="16"/>
  <c r="A4" i="16"/>
  <c r="A3" i="16"/>
  <c r="F13" i="11"/>
  <c r="F13" i="16" s="1"/>
  <c r="I27" i="16" l="1"/>
  <c r="I21" i="16"/>
  <c r="I13" i="16"/>
  <c r="F18" i="16"/>
  <c r="I18" i="16" s="1"/>
  <c r="B37" i="11" l="1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0" l="1"/>
  <c r="I18" i="10"/>
  <c r="I18" i="11"/>
  <c r="B37" i="9"/>
  <c r="H27" i="9"/>
  <c r="G27" i="9"/>
  <c r="F27" i="9"/>
  <c r="I27" i="9" s="1"/>
  <c r="E27" i="9"/>
  <c r="D27" i="9"/>
  <c r="C27" i="9"/>
  <c r="I26" i="9"/>
  <c r="I25" i="9"/>
  <c r="I24" i="9"/>
  <c r="I23" i="9"/>
  <c r="I22" i="9"/>
  <c r="I21" i="9"/>
  <c r="I20" i="9"/>
  <c r="H18" i="9"/>
  <c r="G18" i="9"/>
  <c r="F18" i="9"/>
  <c r="E18" i="9"/>
  <c r="D18" i="9"/>
  <c r="C18" i="9"/>
  <c r="I17" i="9"/>
  <c r="I16" i="9"/>
  <c r="I15" i="9"/>
  <c r="I14" i="9"/>
  <c r="I13" i="9"/>
  <c r="A4" i="9"/>
  <c r="A3" i="9"/>
  <c r="I18" i="9" l="1"/>
  <c r="B105" i="2"/>
  <c r="B38" i="8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16" s="1"/>
  <c r="AA2" i="1"/>
  <c r="AA1" i="1"/>
  <c r="H8" i="14"/>
  <c r="B34" i="8"/>
  <c r="B57" i="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G27" i="8"/>
  <c r="H1266" i="14"/>
  <c r="E27" i="8"/>
  <c r="H1238" i="14" s="1"/>
  <c r="C27" i="8"/>
  <c r="H1210" i="14" s="1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I24" i="8"/>
  <c r="H1291" i="14" s="1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I22" i="8"/>
  <c r="H1289" i="14" s="1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I20" i="8"/>
  <c r="H1287" i="14" s="1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G41" i="6"/>
  <c r="H579" i="14" s="1"/>
  <c r="H549" i="14"/>
  <c r="H519" i="14"/>
  <c r="H489" i="14"/>
  <c r="H847" i="14"/>
  <c r="H817" i="14"/>
  <c r="H757" i="14"/>
  <c r="H727" i="14"/>
  <c r="H697" i="14"/>
  <c r="H637" i="14"/>
  <c r="H607" i="14"/>
  <c r="G39" i="6"/>
  <c r="H577" i="14" s="1"/>
  <c r="H547" i="14"/>
  <c r="H517" i="14"/>
  <c r="H487" i="14"/>
  <c r="H846" i="14"/>
  <c r="H816" i="14"/>
  <c r="N38" i="6"/>
  <c r="H786" i="14" s="1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G37" i="6"/>
  <c r="H575" i="14" s="1"/>
  <c r="H545" i="14"/>
  <c r="H515" i="14"/>
  <c r="H485" i="14"/>
  <c r="H844" i="14"/>
  <c r="H814" i="14"/>
  <c r="N36" i="6"/>
  <c r="H784" i="14" s="1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G35" i="6"/>
  <c r="H573" i="14" s="1"/>
  <c r="H543" i="14"/>
  <c r="H513" i="14"/>
  <c r="H483" i="14"/>
  <c r="P34" i="6"/>
  <c r="H842" i="14" s="1"/>
  <c r="H34" i="6"/>
  <c r="H602" i="14" s="1"/>
  <c r="H841" i="14"/>
  <c r="H811" i="14"/>
  <c r="H751" i="14"/>
  <c r="H721" i="14"/>
  <c r="H691" i="14"/>
  <c r="H631" i="14"/>
  <c r="H601" i="14"/>
  <c r="G33" i="6"/>
  <c r="H571" i="14" s="1"/>
  <c r="H541" i="14"/>
  <c r="H511" i="14"/>
  <c r="H481" i="14"/>
  <c r="H840" i="14"/>
  <c r="H810" i="14"/>
  <c r="N32" i="6"/>
  <c r="H780" i="14" s="1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G31" i="6"/>
  <c r="H569" i="14" s="1"/>
  <c r="H539" i="14"/>
  <c r="H509" i="14"/>
  <c r="H479" i="14"/>
  <c r="H838" i="14"/>
  <c r="H808" i="14"/>
  <c r="N30" i="6"/>
  <c r="Q30" i="6" s="1"/>
  <c r="H868" i="14" s="1"/>
  <c r="H748" i="14"/>
  <c r="H718" i="14"/>
  <c r="H688" i="14"/>
  <c r="H628" i="14"/>
  <c r="H598" i="14"/>
  <c r="H538" i="14"/>
  <c r="H508" i="14"/>
  <c r="H478" i="14"/>
  <c r="O29" i="6"/>
  <c r="H807" i="14"/>
  <c r="K29" i="6"/>
  <c r="H687" i="14" s="1"/>
  <c r="E29" i="6"/>
  <c r="H507" i="14" s="1"/>
  <c r="P27" i="6"/>
  <c r="H836" i="14" s="1"/>
  <c r="L27" i="6"/>
  <c r="H716" i="14" s="1"/>
  <c r="H27" i="6"/>
  <c r="H596" i="14" s="1"/>
  <c r="F27" i="6"/>
  <c r="H536" i="14" s="1"/>
  <c r="D27" i="6"/>
  <c r="H476" i="14" s="1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N25" i="6"/>
  <c r="H774" i="14" s="1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N20" i="6"/>
  <c r="H770" i="14" s="1"/>
  <c r="H740" i="14"/>
  <c r="H710" i="14"/>
  <c r="H680" i="14"/>
  <c r="H620" i="14"/>
  <c r="H590" i="14"/>
  <c r="H530" i="14"/>
  <c r="H500" i="14"/>
  <c r="H470" i="14"/>
  <c r="M19" i="6"/>
  <c r="H739" i="14" s="1"/>
  <c r="I19" i="6"/>
  <c r="H619" i="14" s="1"/>
  <c r="E19" i="6"/>
  <c r="H499" i="14" s="1"/>
  <c r="H828" i="14"/>
  <c r="H798" i="14"/>
  <c r="N18" i="6"/>
  <c r="H768" i="14" s="1"/>
  <c r="H738" i="14"/>
  <c r="H708" i="14"/>
  <c r="H678" i="14"/>
  <c r="G18" i="6"/>
  <c r="J18" i="6" s="1"/>
  <c r="H618" i="14"/>
  <c r="H588" i="14"/>
  <c r="H528" i="14"/>
  <c r="H498" i="14"/>
  <c r="H468" i="14"/>
  <c r="N17" i="6"/>
  <c r="Q17" i="6" s="1"/>
  <c r="H857" i="14" s="1"/>
  <c r="H827" i="14"/>
  <c r="H797" i="14"/>
  <c r="H737" i="14"/>
  <c r="H707" i="14"/>
  <c r="H677" i="14"/>
  <c r="H617" i="14"/>
  <c r="H587" i="14"/>
  <c r="G17" i="6"/>
  <c r="H557" i="14" s="1"/>
  <c r="H527" i="14"/>
  <c r="H497" i="14"/>
  <c r="H467" i="14"/>
  <c r="H826" i="14"/>
  <c r="H796" i="14"/>
  <c r="N16" i="6"/>
  <c r="H766" i="14" s="1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G15" i="6"/>
  <c r="H555" i="14" s="1"/>
  <c r="H525" i="14"/>
  <c r="H495" i="14"/>
  <c r="H465" i="14"/>
  <c r="H824" i="14"/>
  <c r="H794" i="14"/>
  <c r="N14" i="6"/>
  <c r="H734" i="14"/>
  <c r="H704" i="14"/>
  <c r="H674" i="14"/>
  <c r="G14" i="6"/>
  <c r="J14" i="6" s="1"/>
  <c r="H614" i="14"/>
  <c r="H584" i="14"/>
  <c r="H524" i="14"/>
  <c r="H494" i="14"/>
  <c r="H464" i="14"/>
  <c r="N13" i="6"/>
  <c r="Q13" i="6" s="1"/>
  <c r="H823" i="14"/>
  <c r="H793" i="14"/>
  <c r="H733" i="14"/>
  <c r="H703" i="14"/>
  <c r="H673" i="14"/>
  <c r="H613" i="14"/>
  <c r="H583" i="14"/>
  <c r="G13" i="6"/>
  <c r="H553" i="14" s="1"/>
  <c r="H523" i="14"/>
  <c r="H493" i="14"/>
  <c r="H463" i="14"/>
  <c r="H822" i="14"/>
  <c r="H792" i="14"/>
  <c r="N12" i="6"/>
  <c r="H762" i="14" s="1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G11" i="6"/>
  <c r="H551" i="14" s="1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1" i="2"/>
  <c r="E12" i="12"/>
  <c r="H27" i="8"/>
  <c r="H1280" i="14" s="1"/>
  <c r="F27" i="8"/>
  <c r="H1252" i="14" s="1"/>
  <c r="D27" i="8"/>
  <c r="H1224" i="14" s="1"/>
  <c r="I26" i="8"/>
  <c r="H1293" i="14" s="1"/>
  <c r="I25" i="8"/>
  <c r="H1292" i="14" s="1"/>
  <c r="I23" i="8"/>
  <c r="H1290" i="14" s="1"/>
  <c r="I21" i="8"/>
  <c r="H1288" i="14" s="1"/>
  <c r="H18" i="8"/>
  <c r="H1272" i="14" s="1"/>
  <c r="G18" i="8"/>
  <c r="H1258" i="14" s="1"/>
  <c r="F18" i="8"/>
  <c r="H1244" i="14" s="1"/>
  <c r="E18" i="8"/>
  <c r="H1230" i="14" s="1"/>
  <c r="D18" i="8"/>
  <c r="H1216" i="14"/>
  <c r="C18" i="8"/>
  <c r="H1202" i="14" s="1"/>
  <c r="I17" i="8"/>
  <c r="H1285" i="14" s="1"/>
  <c r="I16" i="8"/>
  <c r="H1284" i="14" s="1"/>
  <c r="I15" i="8"/>
  <c r="H1283" i="14"/>
  <c r="I14" i="8"/>
  <c r="H1282" i="14" s="1"/>
  <c r="I13" i="8"/>
  <c r="H1281" i="14" s="1"/>
  <c r="E107" i="7"/>
  <c r="H1191" i="14"/>
  <c r="D107" i="7"/>
  <c r="H1187" i="14" s="1"/>
  <c r="C107" i="7"/>
  <c r="H1183" i="14" s="1"/>
  <c r="F106" i="7"/>
  <c r="H1194" i="14" s="1"/>
  <c r="F105" i="7"/>
  <c r="H1193" i="14" s="1"/>
  <c r="F104" i="7"/>
  <c r="E97" i="7"/>
  <c r="H1134" i="14" s="1"/>
  <c r="E96" i="7"/>
  <c r="H1133" i="14" s="1"/>
  <c r="E95" i="7"/>
  <c r="H1132" i="14" s="1"/>
  <c r="E94" i="7"/>
  <c r="H1131" i="14" s="1"/>
  <c r="E93" i="7"/>
  <c r="H1130" i="14" s="1"/>
  <c r="F92" i="7"/>
  <c r="F87" i="7" s="1"/>
  <c r="D92" i="7"/>
  <c r="H1086" i="14" s="1"/>
  <c r="C92" i="7"/>
  <c r="C87" i="7" s="1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E83" i="7"/>
  <c r="H1120" i="14" s="1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F68" i="7"/>
  <c r="H1151" i="14" s="1"/>
  <c r="D54" i="7"/>
  <c r="H1051" i="14" s="1"/>
  <c r="C54" i="7"/>
  <c r="H1008" i="14" s="1"/>
  <c r="E44" i="7"/>
  <c r="H1005" i="14" s="1"/>
  <c r="E43" i="7"/>
  <c r="H1004" i="14" s="1"/>
  <c r="E42" i="7"/>
  <c r="H1003" i="14"/>
  <c r="E41" i="7"/>
  <c r="H1002" i="14" s="1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H997" i="14" s="1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H950" i="14" s="1"/>
  <c r="C18" i="7"/>
  <c r="E17" i="7"/>
  <c r="H981" i="14" s="1"/>
  <c r="E16" i="7"/>
  <c r="H980" i="14" s="1"/>
  <c r="E15" i="7"/>
  <c r="H979" i="14" s="1"/>
  <c r="E14" i="7"/>
  <c r="H978" i="14" s="1"/>
  <c r="D13" i="7"/>
  <c r="H945" i="14" s="1"/>
  <c r="C13" i="7"/>
  <c r="H913" i="14" s="1"/>
  <c r="E11" i="7"/>
  <c r="H976" i="14" s="1"/>
  <c r="N41" i="6"/>
  <c r="Q41" i="6" s="1"/>
  <c r="H879" i="14" s="1"/>
  <c r="N39" i="6"/>
  <c r="Q39" i="6" s="1"/>
  <c r="H877" i="14" s="1"/>
  <c r="G38" i="6"/>
  <c r="J38" i="6" s="1"/>
  <c r="H666" i="14" s="1"/>
  <c r="N37" i="6"/>
  <c r="Q37" i="6" s="1"/>
  <c r="H875" i="14" s="1"/>
  <c r="Q36" i="6"/>
  <c r="H874" i="14" s="1"/>
  <c r="G36" i="6"/>
  <c r="J36" i="6" s="1"/>
  <c r="N35" i="6"/>
  <c r="Q35" i="6" s="1"/>
  <c r="O34" i="6"/>
  <c r="H812" i="14" s="1"/>
  <c r="M34" i="6"/>
  <c r="H752" i="14" s="1"/>
  <c r="L34" i="6"/>
  <c r="H722" i="14" s="1"/>
  <c r="K34" i="6"/>
  <c r="H692" i="14" s="1"/>
  <c r="I34" i="6"/>
  <c r="H632" i="14" s="1"/>
  <c r="F34" i="6"/>
  <c r="H542" i="14" s="1"/>
  <c r="E34" i="6"/>
  <c r="H512" i="14" s="1"/>
  <c r="D34" i="6"/>
  <c r="H482" i="14" s="1"/>
  <c r="N33" i="6"/>
  <c r="Q33" i="6" s="1"/>
  <c r="H871" i="14" s="1"/>
  <c r="G32" i="6"/>
  <c r="H570" i="14" s="1"/>
  <c r="N31" i="6"/>
  <c r="Q31" i="6" s="1"/>
  <c r="H869" i="14" s="1"/>
  <c r="G30" i="6"/>
  <c r="H568" i="14" s="1"/>
  <c r="P29" i="6"/>
  <c r="M29" i="6"/>
  <c r="L29" i="6"/>
  <c r="H717" i="14" s="1"/>
  <c r="I29" i="6"/>
  <c r="H627" i="14" s="1"/>
  <c r="H29" i="6"/>
  <c r="H597" i="14" s="1"/>
  <c r="F29" i="6"/>
  <c r="H537" i="14" s="1"/>
  <c r="D29" i="6"/>
  <c r="H477" i="14" s="1"/>
  <c r="O27" i="6"/>
  <c r="H806" i="14" s="1"/>
  <c r="M27" i="6"/>
  <c r="H746" i="14" s="1"/>
  <c r="K27" i="6"/>
  <c r="H686" i="14" s="1"/>
  <c r="I27" i="6"/>
  <c r="H626" i="14" s="1"/>
  <c r="E27" i="6"/>
  <c r="N26" i="6"/>
  <c r="H775" i="14" s="1"/>
  <c r="N24" i="6"/>
  <c r="H773" i="14" s="1"/>
  <c r="N23" i="6"/>
  <c r="Q23" i="6" s="1"/>
  <c r="H862" i="14" s="1"/>
  <c r="N22" i="6"/>
  <c r="Q22" i="6" s="1"/>
  <c r="G22" i="6"/>
  <c r="J22" i="6" s="1"/>
  <c r="N21" i="6"/>
  <c r="G21" i="6"/>
  <c r="J21" i="6" s="1"/>
  <c r="Q20" i="6"/>
  <c r="H860" i="14" s="1"/>
  <c r="G20" i="6"/>
  <c r="J20" i="6" s="1"/>
  <c r="P19" i="6"/>
  <c r="O19" i="6"/>
  <c r="H799" i="14" s="1"/>
  <c r="L19" i="6"/>
  <c r="H709" i="14" s="1"/>
  <c r="K19" i="6"/>
  <c r="H679" i="14" s="1"/>
  <c r="H19" i="6"/>
  <c r="H589" i="14" s="1"/>
  <c r="F19" i="6"/>
  <c r="H529" i="14" s="1"/>
  <c r="D19" i="6"/>
  <c r="H469" i="14" s="1"/>
  <c r="G16" i="6"/>
  <c r="N15" i="6"/>
  <c r="H765" i="14" s="1"/>
  <c r="G12" i="6"/>
  <c r="H552" i="14" s="1"/>
  <c r="N11" i="6"/>
  <c r="H761" i="14" s="1"/>
  <c r="L33" i="5"/>
  <c r="H436" i="14" s="1"/>
  <c r="L32" i="5"/>
  <c r="H435" i="14" s="1"/>
  <c r="L30" i="5"/>
  <c r="H433" i="14" s="1"/>
  <c r="L29" i="5"/>
  <c r="H432" i="14" s="1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 s="1"/>
  <c r="C26" i="5"/>
  <c r="H231" i="14"/>
  <c r="L25" i="5"/>
  <c r="H428" i="14" s="1"/>
  <c r="L24" i="5"/>
  <c r="H427" i="14" s="1"/>
  <c r="M23" i="5"/>
  <c r="H448" i="14" s="1"/>
  <c r="K23" i="5"/>
  <c r="H404" i="14" s="1"/>
  <c r="J23" i="5"/>
  <c r="H382" i="14" s="1"/>
  <c r="I23" i="5"/>
  <c r="H360" i="14" s="1"/>
  <c r="H23" i="5"/>
  <c r="G23" i="5"/>
  <c r="H316" i="14" s="1"/>
  <c r="F23" i="5"/>
  <c r="E23" i="5"/>
  <c r="H272" i="14" s="1"/>
  <c r="D23" i="5"/>
  <c r="H250" i="14"/>
  <c r="C23" i="5"/>
  <c r="H228" i="14"/>
  <c r="L22" i="5"/>
  <c r="H425" i="14"/>
  <c r="L21" i="5"/>
  <c r="H424" i="14" s="1"/>
  <c r="L20" i="5"/>
  <c r="H423" i="14" s="1"/>
  <c r="M19" i="5"/>
  <c r="H444" i="14" s="1"/>
  <c r="K19" i="5"/>
  <c r="H400" i="14" s="1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H246" i="14" s="1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C14" i="5"/>
  <c r="H219" i="14" s="1"/>
  <c r="M13" i="5"/>
  <c r="J13" i="5"/>
  <c r="H372" i="14" s="1"/>
  <c r="I13" i="5"/>
  <c r="G13" i="5"/>
  <c r="H306" i="14" s="1"/>
  <c r="F13" i="5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142" i="14" s="1"/>
  <c r="H27" i="3"/>
  <c r="G27" i="3"/>
  <c r="H169" i="14" s="1"/>
  <c r="D22" i="3"/>
  <c r="C22" i="3"/>
  <c r="H16" i="3"/>
  <c r="G16" i="3"/>
  <c r="D3" i="13" s="1"/>
  <c r="D92" i="2"/>
  <c r="C9" i="12" s="1"/>
  <c r="C92" i="2"/>
  <c r="C10" i="12" s="1"/>
  <c r="D79" i="2"/>
  <c r="D85" i="2"/>
  <c r="C79" i="2"/>
  <c r="H58" i="14" s="1"/>
  <c r="D76" i="2"/>
  <c r="C76" i="2"/>
  <c r="D65" i="2"/>
  <c r="C65" i="2"/>
  <c r="H48" i="14" s="1"/>
  <c r="H61" i="2"/>
  <c r="H71" i="2" s="1"/>
  <c r="H79" i="2" s="1"/>
  <c r="G61" i="2"/>
  <c r="H110" i="14" s="1"/>
  <c r="D52" i="2"/>
  <c r="C52" i="2"/>
  <c r="H38" i="14" s="1"/>
  <c r="H50" i="2"/>
  <c r="H56" i="2" s="1"/>
  <c r="G50" i="2"/>
  <c r="H102" i="14" s="1"/>
  <c r="D40" i="2"/>
  <c r="C40" i="2"/>
  <c r="H27" i="14" s="1"/>
  <c r="D35" i="2"/>
  <c r="C35" i="2"/>
  <c r="D33" i="2"/>
  <c r="C33" i="2"/>
  <c r="H21" i="14" s="1"/>
  <c r="H28" i="2"/>
  <c r="H34" i="2" s="1"/>
  <c r="G28" i="2"/>
  <c r="G34" i="2" s="1"/>
  <c r="H93" i="14" s="1"/>
  <c r="D28" i="2"/>
  <c r="C28" i="2"/>
  <c r="H18" i="14" s="1"/>
  <c r="H22" i="2"/>
  <c r="H26" i="2" s="1"/>
  <c r="G22" i="2"/>
  <c r="G26" i="2" s="1"/>
  <c r="H86" i="14" s="1"/>
  <c r="D20" i="2"/>
  <c r="C20" i="2"/>
  <c r="H11" i="14" s="1"/>
  <c r="H18" i="2"/>
  <c r="G18" i="2"/>
  <c r="E7" i="12" s="1"/>
  <c r="E54" i="7"/>
  <c r="H1094" i="14" s="1"/>
  <c r="Q21" i="6"/>
  <c r="H861" i="14" s="1"/>
  <c r="H562" i="14"/>
  <c r="H1192" i="14"/>
  <c r="H1172" i="14"/>
  <c r="H771" i="14"/>
  <c r="H747" i="14"/>
  <c r="H1121" i="14"/>
  <c r="C13" i="5"/>
  <c r="H218" i="14" s="1"/>
  <c r="E15" i="12"/>
  <c r="G17" i="5"/>
  <c r="H310" i="14" s="1"/>
  <c r="A3" i="12"/>
  <c r="C90" i="14"/>
  <c r="C100" i="14"/>
  <c r="C104" i="14"/>
  <c r="C116" i="14"/>
  <c r="C128" i="14"/>
  <c r="C133" i="14"/>
  <c r="C148" i="14"/>
  <c r="C159" i="14"/>
  <c r="C160" i="14"/>
  <c r="C176" i="14"/>
  <c r="C65" i="14"/>
  <c r="C61" i="14"/>
  <c r="C49" i="14"/>
  <c r="C39" i="14"/>
  <c r="C33" i="14"/>
  <c r="C19" i="14"/>
  <c r="C8" i="14"/>
  <c r="C7" i="14"/>
  <c r="C1287" i="14"/>
  <c r="C1276" i="14"/>
  <c r="C1272" i="14"/>
  <c r="C1260" i="14"/>
  <c r="C1249" i="14"/>
  <c r="C1244" i="14"/>
  <c r="C1229" i="14"/>
  <c r="C1219" i="14"/>
  <c r="C1217" i="14"/>
  <c r="C1201" i="14"/>
  <c r="C1190" i="14"/>
  <c r="C1186" i="14"/>
  <c r="C1174" i="14"/>
  <c r="C1163" i="14"/>
  <c r="C1158" i="14"/>
  <c r="C1143" i="14"/>
  <c r="C1133" i="14"/>
  <c r="C1132" i="14"/>
  <c r="C1120" i="14"/>
  <c r="C1112" i="14"/>
  <c r="C1109" i="14"/>
  <c r="C1100" i="14"/>
  <c r="C1092" i="14"/>
  <c r="C1088" i="14"/>
  <c r="C1077" i="14"/>
  <c r="C1069" i="14"/>
  <c r="C1068" i="14"/>
  <c r="C1056" i="14"/>
  <c r="C1048" i="14"/>
  <c r="C1047" i="14"/>
  <c r="C1042" i="14"/>
  <c r="C1038" i="14"/>
  <c r="C1036" i="14"/>
  <c r="C1031" i="14"/>
  <c r="C1027" i="14"/>
  <c r="C1026" i="14"/>
  <c r="C1020" i="14"/>
  <c r="C1016" i="14"/>
  <c r="C1015" i="14"/>
  <c r="C1010" i="14"/>
  <c r="C1006" i="14"/>
  <c r="C1004" i="14"/>
  <c r="C999" i="14"/>
  <c r="C995" i="14"/>
  <c r="C994" i="14"/>
  <c r="C988" i="14"/>
  <c r="C984" i="14"/>
  <c r="C983" i="14"/>
  <c r="C978" i="14"/>
  <c r="C974" i="14"/>
  <c r="C972" i="14"/>
  <c r="C967" i="14"/>
  <c r="C963" i="14"/>
  <c r="C962" i="14"/>
  <c r="C956" i="14"/>
  <c r="C952" i="14"/>
  <c r="C951" i="14"/>
  <c r="C946" i="14"/>
  <c r="C942" i="14"/>
  <c r="C940" i="14"/>
  <c r="C935" i="14"/>
  <c r="C931" i="14"/>
  <c r="C930" i="14"/>
  <c r="C924" i="14"/>
  <c r="C920" i="14"/>
  <c r="C919" i="14"/>
  <c r="C914" i="14"/>
  <c r="C909" i="14"/>
  <c r="C907" i="14"/>
  <c r="C902" i="14"/>
  <c r="C898" i="14"/>
  <c r="C897" i="14"/>
  <c r="C891" i="14"/>
  <c r="C887" i="14"/>
  <c r="C886" i="14"/>
  <c r="C881" i="14"/>
  <c r="C877" i="14"/>
  <c r="C875" i="14"/>
  <c r="C870" i="14"/>
  <c r="C866" i="14"/>
  <c r="C865" i="14"/>
  <c r="C859" i="14"/>
  <c r="C855" i="14"/>
  <c r="C854" i="14"/>
  <c r="C849" i="14"/>
  <c r="C845" i="14"/>
  <c r="C843" i="14"/>
  <c r="C838" i="14"/>
  <c r="C834" i="14"/>
  <c r="C833" i="14"/>
  <c r="C827" i="14"/>
  <c r="C823" i="14"/>
  <c r="C822" i="14"/>
  <c r="C818" i="14"/>
  <c r="C814" i="14"/>
  <c r="C812" i="14"/>
  <c r="C807" i="14"/>
  <c r="C803" i="14"/>
  <c r="C802" i="14"/>
  <c r="C796" i="14"/>
  <c r="C792" i="14"/>
  <c r="C791" i="14"/>
  <c r="C786" i="14"/>
  <c r="C782" i="14"/>
  <c r="C779" i="14"/>
  <c r="C774" i="14"/>
  <c r="C770" i="14"/>
  <c r="C769" i="14"/>
  <c r="C763" i="14"/>
  <c r="C759" i="14"/>
  <c r="C758" i="14"/>
  <c r="C753" i="14"/>
  <c r="C749" i="14"/>
  <c r="C747" i="14"/>
  <c r="C742" i="14"/>
  <c r="C737" i="14"/>
  <c r="C734" i="14"/>
  <c r="C718" i="14"/>
  <c r="C707" i="14"/>
  <c r="C704" i="14"/>
  <c r="C690" i="14"/>
  <c r="C679" i="14"/>
  <c r="C673" i="14"/>
  <c r="C659" i="14"/>
  <c r="C648" i="14"/>
  <c r="C645" i="14"/>
  <c r="C629" i="14"/>
  <c r="C618" i="14"/>
  <c r="C615" i="14"/>
  <c r="C601" i="14"/>
  <c r="C590" i="14"/>
  <c r="C585" i="14"/>
  <c r="C572" i="14"/>
  <c r="C561" i="14"/>
  <c r="C558" i="14"/>
  <c r="C543" i="14"/>
  <c r="C531" i="14"/>
  <c r="C529" i="14"/>
  <c r="C515" i="14"/>
  <c r="C504" i="14"/>
  <c r="C499" i="14"/>
  <c r="C485" i="14"/>
  <c r="C473" i="14"/>
  <c r="C470" i="14"/>
  <c r="C453" i="14"/>
  <c r="C442" i="14"/>
  <c r="C440" i="14"/>
  <c r="C426" i="14"/>
  <c r="C414" i="14"/>
  <c r="C409" i="14"/>
  <c r="C395" i="14"/>
  <c r="C384" i="14"/>
  <c r="C382" i="14"/>
  <c r="C370" i="14"/>
  <c r="C362" i="14"/>
  <c r="C360" i="14"/>
  <c r="C349" i="14"/>
  <c r="C341" i="14"/>
  <c r="C336" i="14"/>
  <c r="C326" i="14"/>
  <c r="C318" i="14"/>
  <c r="C316" i="14"/>
  <c r="C303" i="14"/>
  <c r="C295" i="14"/>
  <c r="C293" i="14"/>
  <c r="C282" i="14"/>
  <c r="C274" i="14"/>
  <c r="C270" i="14"/>
  <c r="C260" i="14"/>
  <c r="C252" i="14"/>
  <c r="C250" i="14"/>
  <c r="C237" i="14"/>
  <c r="C231" i="14"/>
  <c r="C229" i="14"/>
  <c r="C220" i="14"/>
  <c r="C213" i="14"/>
  <c r="C211" i="14"/>
  <c r="C202" i="14"/>
  <c r="C195" i="14"/>
  <c r="C193" i="14"/>
  <c r="C185" i="14"/>
  <c r="A6" i="4"/>
  <c r="C781" i="14"/>
  <c r="C733" i="14"/>
  <c r="C728" i="14"/>
  <c r="C727" i="14"/>
  <c r="C721" i="14"/>
  <c r="C716" i="14"/>
  <c r="C714" i="14"/>
  <c r="C708" i="14"/>
  <c r="C703" i="14"/>
  <c r="C702" i="14"/>
  <c r="C696" i="14"/>
  <c r="C691" i="14"/>
  <c r="C689" i="14"/>
  <c r="C683" i="14"/>
  <c r="C678" i="14"/>
  <c r="C677" i="14"/>
  <c r="C671" i="14"/>
  <c r="C666" i="14"/>
  <c r="C664" i="14"/>
  <c r="C658" i="14"/>
  <c r="C653" i="14"/>
  <c r="C652" i="14"/>
  <c r="C646" i="14"/>
  <c r="C641" i="14"/>
  <c r="C639" i="14"/>
  <c r="C634" i="14"/>
  <c r="C633" i="14"/>
  <c r="C628" i="14"/>
  <c r="C627" i="14"/>
  <c r="C622" i="14"/>
  <c r="C620" i="14"/>
  <c r="C616" i="14"/>
  <c r="C614" i="14"/>
  <c r="C609" i="14"/>
  <c r="C608" i="14"/>
  <c r="C603" i="14"/>
  <c r="C602" i="14"/>
  <c r="C597" i="14"/>
  <c r="C595" i="14"/>
  <c r="C591" i="14"/>
  <c r="C589" i="14"/>
  <c r="C584" i="14"/>
  <c r="C583" i="14"/>
  <c r="C578" i="14"/>
  <c r="C576" i="14"/>
  <c r="C571" i="14"/>
  <c r="C570" i="14"/>
  <c r="C565" i="14"/>
  <c r="C564" i="14"/>
  <c r="C559" i="14"/>
  <c r="C557" i="14"/>
  <c r="C552" i="14"/>
  <c r="C551" i="14"/>
  <c r="C546" i="14"/>
  <c r="C544" i="14"/>
  <c r="C539" i="14"/>
  <c r="C538" i="14"/>
  <c r="C533" i="14"/>
  <c r="C532" i="14"/>
  <c r="C527" i="14"/>
  <c r="C525" i="14"/>
  <c r="C521" i="14"/>
  <c r="C519" i="14"/>
  <c r="C514" i="14"/>
  <c r="C513" i="14"/>
  <c r="C508" i="14"/>
  <c r="C506" i="14"/>
  <c r="C502" i="14"/>
  <c r="C500" i="14"/>
  <c r="C495" i="14"/>
  <c r="C494" i="14"/>
  <c r="C489" i="14"/>
  <c r="C487" i="14"/>
  <c r="C483" i="14"/>
  <c r="C481" i="14"/>
  <c r="C477" i="14"/>
  <c r="C475" i="14"/>
  <c r="C471" i="14"/>
  <c r="C469" i="14"/>
  <c r="C464" i="14"/>
  <c r="C462" i="14"/>
  <c r="C457" i="14"/>
  <c r="C455" i="14"/>
  <c r="C451" i="14"/>
  <c r="C449" i="14"/>
  <c r="C444" i="14"/>
  <c r="C443" i="14"/>
  <c r="C438" i="14"/>
  <c r="C436" i="14"/>
  <c r="C431" i="14"/>
  <c r="C430" i="14"/>
  <c r="C425" i="14"/>
  <c r="C424" i="14"/>
  <c r="C419" i="14"/>
  <c r="C418" i="14"/>
  <c r="C413" i="14"/>
  <c r="C411" i="14"/>
  <c r="C407" i="14"/>
  <c r="C405" i="14"/>
  <c r="C400" i="14"/>
  <c r="C399" i="14"/>
  <c r="C394" i="14"/>
  <c r="C393" i="14"/>
  <c r="C388" i="14"/>
  <c r="C386" i="14"/>
  <c r="C381" i="14"/>
  <c r="C379" i="14"/>
  <c r="C373" i="14"/>
  <c r="C371" i="14"/>
  <c r="C365" i="14"/>
  <c r="C363" i="14"/>
  <c r="C358" i="14"/>
  <c r="C356" i="14"/>
  <c r="C350" i="14"/>
  <c r="C348" i="14"/>
  <c r="C342" i="14"/>
  <c r="C340" i="14"/>
  <c r="C335" i="14"/>
  <c r="C333" i="14"/>
  <c r="C327" i="14"/>
  <c r="C325" i="14"/>
  <c r="C319" i="14"/>
  <c r="C317" i="14"/>
  <c r="C311" i="14"/>
  <c r="C310" i="14"/>
  <c r="C304" i="14"/>
  <c r="C302" i="14"/>
  <c r="C296" i="14"/>
  <c r="C294" i="14"/>
  <c r="C288" i="14"/>
  <c r="C286" i="14"/>
  <c r="C281" i="14"/>
  <c r="C279" i="14"/>
  <c r="C273" i="14"/>
  <c r="C271" i="14"/>
  <c r="C265" i="14"/>
  <c r="C263" i="14"/>
  <c r="C257" i="14"/>
  <c r="C255" i="14"/>
  <c r="C249" i="14"/>
  <c r="C247" i="14"/>
  <c r="C241" i="14"/>
  <c r="C240" i="14"/>
  <c r="C234" i="14"/>
  <c r="C232" i="14"/>
  <c r="C226" i="14"/>
  <c r="C224" i="14"/>
  <c r="C219" i="14"/>
  <c r="C216" i="14"/>
  <c r="C210" i="14"/>
  <c r="C209" i="14"/>
  <c r="C203" i="14"/>
  <c r="C201" i="14"/>
  <c r="C196" i="14"/>
  <c r="C194" i="14"/>
  <c r="C188" i="14"/>
  <c r="C186" i="14"/>
  <c r="A6" i="5"/>
  <c r="C46" i="2" l="1"/>
  <c r="H33" i="14" s="1"/>
  <c r="C84" i="14"/>
  <c r="A5" i="16"/>
  <c r="B41" i="5"/>
  <c r="C45" i="6"/>
  <c r="B31" i="16"/>
  <c r="H556" i="14"/>
  <c r="J16" i="6"/>
  <c r="H646" i="14" s="1"/>
  <c r="H563" i="14"/>
  <c r="C647" i="14"/>
  <c r="C660" i="14"/>
  <c r="C672" i="14"/>
  <c r="C685" i="14"/>
  <c r="C697" i="14"/>
  <c r="C710" i="14"/>
  <c r="C722" i="14"/>
  <c r="C735" i="14"/>
  <c r="C187" i="14"/>
  <c r="C204" i="14"/>
  <c r="C222" i="14"/>
  <c r="C242" i="14"/>
  <c r="C262" i="14"/>
  <c r="C284" i="14"/>
  <c r="C307" i="14"/>
  <c r="C328" i="14"/>
  <c r="C351" i="14"/>
  <c r="C374" i="14"/>
  <c r="C398" i="14"/>
  <c r="C429" i="14"/>
  <c r="C459" i="14"/>
  <c r="C488" i="14"/>
  <c r="C518" i="14"/>
  <c r="C547" i="14"/>
  <c r="C574" i="14"/>
  <c r="C604" i="14"/>
  <c r="C635" i="14"/>
  <c r="C662" i="14"/>
  <c r="C692" i="14"/>
  <c r="C723" i="14"/>
  <c r="C743" i="14"/>
  <c r="C754" i="14"/>
  <c r="C765" i="14"/>
  <c r="C775" i="14"/>
  <c r="C787" i="14"/>
  <c r="C798" i="14"/>
  <c r="C808" i="14"/>
  <c r="C819" i="14"/>
  <c r="C829" i="14"/>
  <c r="C839" i="14"/>
  <c r="C850" i="14"/>
  <c r="C861" i="14"/>
  <c r="C871" i="14"/>
  <c r="C882" i="14"/>
  <c r="C893" i="14"/>
  <c r="C903" i="14"/>
  <c r="C915" i="14"/>
  <c r="C926" i="14"/>
  <c r="C936" i="14"/>
  <c r="C947" i="14"/>
  <c r="C958" i="14"/>
  <c r="C968" i="14"/>
  <c r="C979" i="14"/>
  <c r="C990" i="14"/>
  <c r="C1000" i="14"/>
  <c r="C1011" i="14"/>
  <c r="C1022" i="14"/>
  <c r="C1032" i="14"/>
  <c r="C1043" i="14"/>
  <c r="C1060" i="14"/>
  <c r="C1080" i="14"/>
  <c r="C1101" i="14"/>
  <c r="C1124" i="14"/>
  <c r="C1147" i="14"/>
  <c r="C1175" i="14"/>
  <c r="C1207" i="14"/>
  <c r="C1233" i="14"/>
  <c r="C1261" i="14"/>
  <c r="C1292" i="14"/>
  <c r="C23" i="14"/>
  <c r="C51" i="14"/>
  <c r="C171" i="14"/>
  <c r="C144" i="14"/>
  <c r="C115" i="14"/>
  <c r="A5" i="11"/>
  <c r="C73" i="14"/>
  <c r="C77" i="14"/>
  <c r="C81" i="14"/>
  <c r="C85" i="14"/>
  <c r="C89" i="14"/>
  <c r="C93" i="14"/>
  <c r="C97" i="14"/>
  <c r="C101" i="14"/>
  <c r="C105" i="14"/>
  <c r="C109" i="14"/>
  <c r="C113" i="14"/>
  <c r="C117" i="14"/>
  <c r="C121" i="14"/>
  <c r="C125" i="14"/>
  <c r="C130" i="14"/>
  <c r="C134" i="14"/>
  <c r="C138" i="14"/>
  <c r="C142" i="14"/>
  <c r="C146" i="14"/>
  <c r="C150" i="14"/>
  <c r="C154" i="14"/>
  <c r="C158" i="14"/>
  <c r="C162" i="14"/>
  <c r="C166" i="14"/>
  <c r="C170" i="14"/>
  <c r="C174" i="14"/>
  <c r="C178" i="14"/>
  <c r="C70" i="14"/>
  <c r="C66" i="14"/>
  <c r="C62" i="14"/>
  <c r="C58" i="14"/>
  <c r="C54" i="14"/>
  <c r="C50" i="14"/>
  <c r="C46" i="14"/>
  <c r="C42" i="14"/>
  <c r="C38" i="14"/>
  <c r="C34" i="14"/>
  <c r="C30" i="14"/>
  <c r="C26" i="14"/>
  <c r="C22" i="14"/>
  <c r="C18" i="14"/>
  <c r="C14" i="14"/>
  <c r="C10" i="14"/>
  <c r="C6" i="14"/>
  <c r="A6" i="2"/>
  <c r="C1294" i="14"/>
  <c r="C1290" i="14"/>
  <c r="C1286" i="14"/>
  <c r="C1282" i="14"/>
  <c r="C1278" i="14"/>
  <c r="C1274" i="14"/>
  <c r="C1270" i="14"/>
  <c r="C1266" i="14"/>
  <c r="C1262" i="14"/>
  <c r="C1258" i="14"/>
  <c r="C1254" i="14"/>
  <c r="C1250" i="14"/>
  <c r="C1246" i="14"/>
  <c r="C1242" i="14"/>
  <c r="C1238" i="14"/>
  <c r="C1234" i="14"/>
  <c r="C1230" i="14"/>
  <c r="C1226" i="14"/>
  <c r="C1222" i="14"/>
  <c r="C1218" i="14"/>
  <c r="C1214" i="14"/>
  <c r="C1210" i="14"/>
  <c r="C1206" i="14"/>
  <c r="C1202" i="14"/>
  <c r="C1198" i="14"/>
  <c r="C1193" i="14"/>
  <c r="C1189" i="14"/>
  <c r="C1185" i="14"/>
  <c r="C1181" i="14"/>
  <c r="C1177" i="14"/>
  <c r="C1173" i="14"/>
  <c r="C1169" i="14"/>
  <c r="C1165" i="14"/>
  <c r="C1161" i="14"/>
  <c r="C1157" i="14"/>
  <c r="C1153" i="14"/>
  <c r="C1149" i="14"/>
  <c r="C1145" i="14"/>
  <c r="C1141" i="14"/>
  <c r="C1137" i="14"/>
  <c r="C74" i="14"/>
  <c r="C75" i="14"/>
  <c r="C80" i="14"/>
  <c r="C86" i="14"/>
  <c r="C91" i="14"/>
  <c r="C96" i="14"/>
  <c r="C102" i="14"/>
  <c r="C107" i="14"/>
  <c r="C112" i="14"/>
  <c r="C118" i="14"/>
  <c r="C123" i="14"/>
  <c r="C129" i="14"/>
  <c r="C135" i="14"/>
  <c r="C140" i="14"/>
  <c r="C145" i="14"/>
  <c r="C151" i="14"/>
  <c r="C156" i="14"/>
  <c r="C161" i="14"/>
  <c r="C167" i="14"/>
  <c r="C172" i="14"/>
  <c r="C177" i="14"/>
  <c r="C69" i="14"/>
  <c r="C64" i="14"/>
  <c r="C59" i="14"/>
  <c r="C53" i="14"/>
  <c r="C48" i="14"/>
  <c r="C43" i="14"/>
  <c r="C37" i="14"/>
  <c r="C32" i="14"/>
  <c r="C27" i="14"/>
  <c r="C21" i="14"/>
  <c r="C16" i="14"/>
  <c r="C11" i="14"/>
  <c r="C5" i="14"/>
  <c r="A5" i="7"/>
  <c r="C1291" i="14"/>
  <c r="C1285" i="14"/>
  <c r="C1280" i="14"/>
  <c r="C1275" i="14"/>
  <c r="C1269" i="14"/>
  <c r="C1264" i="14"/>
  <c r="C1259" i="14"/>
  <c r="C1253" i="14"/>
  <c r="C1248" i="14"/>
  <c r="C1243" i="14"/>
  <c r="C1237" i="14"/>
  <c r="C1232" i="14"/>
  <c r="C1227" i="14"/>
  <c r="C1221" i="14"/>
  <c r="C1216" i="14"/>
  <c r="C1211" i="14"/>
  <c r="C1205" i="14"/>
  <c r="C1200" i="14"/>
  <c r="C1194" i="14"/>
  <c r="C1188" i="14"/>
  <c r="C1183" i="14"/>
  <c r="C1178" i="14"/>
  <c r="C1172" i="14"/>
  <c r="C1167" i="14"/>
  <c r="C1162" i="14"/>
  <c r="C1156" i="14"/>
  <c r="C1151" i="14"/>
  <c r="C1146" i="14"/>
  <c r="C1140" i="14"/>
  <c r="C1135" i="14"/>
  <c r="C1131" i="14"/>
  <c r="C1127" i="14"/>
  <c r="C1123" i="14"/>
  <c r="C1119" i="14"/>
  <c r="C1115" i="14"/>
  <c r="C1111" i="14"/>
  <c r="C1107" i="14"/>
  <c r="C1103" i="14"/>
  <c r="C1099" i="14"/>
  <c r="C1095" i="14"/>
  <c r="C1091" i="14"/>
  <c r="C1087" i="14"/>
  <c r="C1083" i="14"/>
  <c r="C1079" i="14"/>
  <c r="C1075" i="14"/>
  <c r="C1071" i="14"/>
  <c r="C1067" i="14"/>
  <c r="C1063" i="14"/>
  <c r="C1059" i="14"/>
  <c r="C1055" i="14"/>
  <c r="C1051" i="14"/>
  <c r="C76" i="14"/>
  <c r="C82" i="14"/>
  <c r="C87" i="14"/>
  <c r="C92" i="14"/>
  <c r="C98" i="14"/>
  <c r="C103" i="14"/>
  <c r="C108" i="14"/>
  <c r="C114" i="14"/>
  <c r="C119" i="14"/>
  <c r="C124" i="14"/>
  <c r="C131" i="14"/>
  <c r="C136" i="14"/>
  <c r="C141" i="14"/>
  <c r="C147" i="14"/>
  <c r="C152" i="14"/>
  <c r="C157" i="14"/>
  <c r="C163" i="14"/>
  <c r="C168" i="14"/>
  <c r="C173" i="14"/>
  <c r="C179" i="14"/>
  <c r="C68" i="14"/>
  <c r="C63" i="14"/>
  <c r="C57" i="14"/>
  <c r="C52" i="14"/>
  <c r="C47" i="14"/>
  <c r="C41" i="14"/>
  <c r="C36" i="14"/>
  <c r="C31" i="14"/>
  <c r="C25" i="14"/>
  <c r="C20" i="14"/>
  <c r="C15" i="14"/>
  <c r="C9" i="14"/>
  <c r="C4" i="14"/>
  <c r="A5" i="6"/>
  <c r="C1289" i="14"/>
  <c r="C1284" i="14"/>
  <c r="C1279" i="14"/>
  <c r="C1273" i="14"/>
  <c r="C1268" i="14"/>
  <c r="C1263" i="14"/>
  <c r="C1257" i="14"/>
  <c r="C1252" i="14"/>
  <c r="C1247" i="14"/>
  <c r="C1241" i="14"/>
  <c r="C1236" i="14"/>
  <c r="C1231" i="14"/>
  <c r="C1225" i="14"/>
  <c r="C1220" i="14"/>
  <c r="C1215" i="14"/>
  <c r="C1209" i="14"/>
  <c r="C1204" i="14"/>
  <c r="C1199" i="14"/>
  <c r="C1192" i="14"/>
  <c r="C1187" i="14"/>
  <c r="C1182" i="14"/>
  <c r="C1176" i="14"/>
  <c r="C1171" i="14"/>
  <c r="C1166" i="14"/>
  <c r="C1160" i="14"/>
  <c r="C1155" i="14"/>
  <c r="C1150" i="14"/>
  <c r="C1144" i="14"/>
  <c r="C1139" i="14"/>
  <c r="C1134" i="14"/>
  <c r="C1130" i="14"/>
  <c r="C1126" i="14"/>
  <c r="C1122" i="14"/>
  <c r="C1118" i="14"/>
  <c r="C1114" i="14"/>
  <c r="C1110" i="14"/>
  <c r="C1106" i="14"/>
  <c r="C1102" i="14"/>
  <c r="C1098" i="14"/>
  <c r="C1094" i="14"/>
  <c r="C1090" i="14"/>
  <c r="C1086" i="14"/>
  <c r="C1082" i="14"/>
  <c r="C1078" i="14"/>
  <c r="C1074" i="14"/>
  <c r="C1070" i="14"/>
  <c r="C1066" i="14"/>
  <c r="C1062" i="14"/>
  <c r="C1058" i="14"/>
  <c r="C1054" i="14"/>
  <c r="C1050" i="14"/>
  <c r="C78" i="14"/>
  <c r="C88" i="14"/>
  <c r="C99" i="14"/>
  <c r="C110" i="14"/>
  <c r="C120" i="14"/>
  <c r="C132" i="14"/>
  <c r="C143" i="14"/>
  <c r="C153" i="14"/>
  <c r="C164" i="14"/>
  <c r="C175" i="14"/>
  <c r="C67" i="14"/>
  <c r="C56" i="14"/>
  <c r="C45" i="14"/>
  <c r="C35" i="14"/>
  <c r="C24" i="14"/>
  <c r="C13" i="14"/>
  <c r="C3" i="14"/>
  <c r="C1288" i="14"/>
  <c r="C1277" i="14"/>
  <c r="C1267" i="14"/>
  <c r="C1256" i="14"/>
  <c r="C1245" i="14"/>
  <c r="C1235" i="14"/>
  <c r="C1224" i="14"/>
  <c r="C1213" i="14"/>
  <c r="C1203" i="14"/>
  <c r="C1191" i="14"/>
  <c r="C1180" i="14"/>
  <c r="C1170" i="14"/>
  <c r="C1159" i="14"/>
  <c r="C1148" i="14"/>
  <c r="C1138" i="14"/>
  <c r="C1129" i="14"/>
  <c r="C1121" i="14"/>
  <c r="C1113" i="14"/>
  <c r="C1105" i="14"/>
  <c r="C1097" i="14"/>
  <c r="C1089" i="14"/>
  <c r="C1081" i="14"/>
  <c r="C1073" i="14"/>
  <c r="C1065" i="14"/>
  <c r="C1057" i="14"/>
  <c r="C1049" i="14"/>
  <c r="C1045" i="14"/>
  <c r="C1041" i="14"/>
  <c r="C1037" i="14"/>
  <c r="C1033" i="14"/>
  <c r="C1029" i="14"/>
  <c r="C1025" i="14"/>
  <c r="C1021" i="14"/>
  <c r="C1017" i="14"/>
  <c r="C1013" i="14"/>
  <c r="C1009" i="14"/>
  <c r="C1005" i="14"/>
  <c r="C1001" i="14"/>
  <c r="C997" i="14"/>
  <c r="C993" i="14"/>
  <c r="C989" i="14"/>
  <c r="C985" i="14"/>
  <c r="C981" i="14"/>
  <c r="C977" i="14"/>
  <c r="C973" i="14"/>
  <c r="C969" i="14"/>
  <c r="C965" i="14"/>
  <c r="C961" i="14"/>
  <c r="C957" i="14"/>
  <c r="C953" i="14"/>
  <c r="C949" i="14"/>
  <c r="C945" i="14"/>
  <c r="C941" i="14"/>
  <c r="C937" i="14"/>
  <c r="C933" i="14"/>
  <c r="C929" i="14"/>
  <c r="C925" i="14"/>
  <c r="C921" i="14"/>
  <c r="C917" i="14"/>
  <c r="C913" i="14"/>
  <c r="C908" i="14"/>
  <c r="C904" i="14"/>
  <c r="C900" i="14"/>
  <c r="C896" i="14"/>
  <c r="C892" i="14"/>
  <c r="C888" i="14"/>
  <c r="C884" i="14"/>
  <c r="C880" i="14"/>
  <c r="C876" i="14"/>
  <c r="C872" i="14"/>
  <c r="C868" i="14"/>
  <c r="C864" i="14"/>
  <c r="C860" i="14"/>
  <c r="C856" i="14"/>
  <c r="C852" i="14"/>
  <c r="C848" i="14"/>
  <c r="C844" i="14"/>
  <c r="C840" i="14"/>
  <c r="C836" i="14"/>
  <c r="C832" i="14"/>
  <c r="C828" i="14"/>
  <c r="C824" i="14"/>
  <c r="A6" i="3"/>
  <c r="C817" i="14"/>
  <c r="C813" i="14"/>
  <c r="C809" i="14"/>
  <c r="C805" i="14"/>
  <c r="C801" i="14"/>
  <c r="C797" i="14"/>
  <c r="C793" i="14"/>
  <c r="C789" i="14"/>
  <c r="C785" i="14"/>
  <c r="C780" i="14"/>
  <c r="C776" i="14"/>
  <c r="C772" i="14"/>
  <c r="C768" i="14"/>
  <c r="C764" i="14"/>
  <c r="C760" i="14"/>
  <c r="C756" i="14"/>
  <c r="C752" i="14"/>
  <c r="C748" i="14"/>
  <c r="C744" i="14"/>
  <c r="C740" i="14"/>
  <c r="C732" i="14"/>
  <c r="C720" i="14"/>
  <c r="C709" i="14"/>
  <c r="C698" i="14"/>
  <c r="C687" i="14"/>
  <c r="C676" i="14"/>
  <c r="C665" i="14"/>
  <c r="C654" i="14"/>
  <c r="C643" i="14"/>
  <c r="C632" i="14"/>
  <c r="C621" i="14"/>
  <c r="C610" i="14"/>
  <c r="C599" i="14"/>
  <c r="C588" i="14"/>
  <c r="C577" i="14"/>
  <c r="C566" i="14"/>
  <c r="C555" i="14"/>
  <c r="C545" i="14"/>
  <c r="C534" i="14"/>
  <c r="C523" i="14"/>
  <c r="C512" i="14"/>
  <c r="C501" i="14"/>
  <c r="C490" i="14"/>
  <c r="C479" i="14"/>
  <c r="C468" i="14"/>
  <c r="C456" i="14"/>
  <c r="C445" i="14"/>
  <c r="C435" i="14"/>
  <c r="C423" i="14"/>
  <c r="C412" i="14"/>
  <c r="C401" i="14"/>
  <c r="C389" i="14"/>
  <c r="C380" i="14"/>
  <c r="C372" i="14"/>
  <c r="C364" i="14"/>
  <c r="C355" i="14"/>
  <c r="C347" i="14"/>
  <c r="C339" i="14"/>
  <c r="C330" i="14"/>
  <c r="C322" i="14"/>
  <c r="C314" i="14"/>
  <c r="C305" i="14"/>
  <c r="C297" i="14"/>
  <c r="C289" i="14"/>
  <c r="C280" i="14"/>
  <c r="C272" i="14"/>
  <c r="C264" i="14"/>
  <c r="C256" i="14"/>
  <c r="C248" i="14"/>
  <c r="C239" i="14"/>
  <c r="C182" i="14"/>
  <c r="C197" i="14"/>
  <c r="C212" i="14"/>
  <c r="C228" i="14"/>
  <c r="C243" i="14"/>
  <c r="C259" i="14"/>
  <c r="C283" i="14"/>
  <c r="C298" i="14"/>
  <c r="C313" i="14"/>
  <c r="C329" i="14"/>
  <c r="C344" i="14"/>
  <c r="C359" i="14"/>
  <c r="C375" i="14"/>
  <c r="C390" i="14"/>
  <c r="C402" i="14"/>
  <c r="C415" i="14"/>
  <c r="C427" i="14"/>
  <c r="C439" i="14"/>
  <c r="C452" i="14"/>
  <c r="C466" i="14"/>
  <c r="C478" i="14"/>
  <c r="C491" i="14"/>
  <c r="C503" i="14"/>
  <c r="C516" i="14"/>
  <c r="C528" i="14"/>
  <c r="C541" i="14"/>
  <c r="C554" i="14"/>
  <c r="C567" i="14"/>
  <c r="C580" i="14"/>
  <c r="C592" i="14"/>
  <c r="C605" i="14"/>
  <c r="C624" i="14"/>
  <c r="C636" i="14"/>
  <c r="C649" i="14"/>
  <c r="C661" i="14"/>
  <c r="C674" i="14"/>
  <c r="C686" i="14"/>
  <c r="C699" i="14"/>
  <c r="C711" i="14"/>
  <c r="C724" i="14"/>
  <c r="C736" i="14"/>
  <c r="C189" i="14"/>
  <c r="C206" i="14"/>
  <c r="C225" i="14"/>
  <c r="C244" i="14"/>
  <c r="C266" i="14"/>
  <c r="C287" i="14"/>
  <c r="C309" i="14"/>
  <c r="C332" i="14"/>
  <c r="C353" i="14"/>
  <c r="C376" i="14"/>
  <c r="C417" i="14"/>
  <c r="C448" i="14"/>
  <c r="C476" i="14"/>
  <c r="C507" i="14"/>
  <c r="C537" i="14"/>
  <c r="C563" i="14"/>
  <c r="C593" i="14"/>
  <c r="C638" i="14"/>
  <c r="C668" i="14"/>
  <c r="C695" i="14"/>
  <c r="C726" i="14"/>
  <c r="C745" i="14"/>
  <c r="C755" i="14"/>
  <c r="C771" i="14"/>
  <c r="C783" i="14"/>
  <c r="C794" i="14"/>
  <c r="C804" i="14"/>
  <c r="C815" i="14"/>
  <c r="C825" i="14"/>
  <c r="C835" i="14"/>
  <c r="C846" i="14"/>
  <c r="C857" i="14"/>
  <c r="C867" i="14"/>
  <c r="C878" i="14"/>
  <c r="C894" i="14"/>
  <c r="C905" i="14"/>
  <c r="C916" i="14"/>
  <c r="C927" i="14"/>
  <c r="C938" i="14"/>
  <c r="C948" i="14"/>
  <c r="C959" i="14"/>
  <c r="C970" i="14"/>
  <c r="C980" i="14"/>
  <c r="C991" i="14"/>
  <c r="C1002" i="14"/>
  <c r="C1018" i="14"/>
  <c r="C1028" i="14"/>
  <c r="C1039" i="14"/>
  <c r="C1052" i="14"/>
  <c r="C1072" i="14"/>
  <c r="C1093" i="14"/>
  <c r="C1116" i="14"/>
  <c r="C1136" i="14"/>
  <c r="C1164" i="14"/>
  <c r="C1195" i="14"/>
  <c r="C1223" i="14"/>
  <c r="C1251" i="14"/>
  <c r="C1281" i="14"/>
  <c r="C12" i="14"/>
  <c r="C40" i="14"/>
  <c r="C55" i="14"/>
  <c r="C71" i="14"/>
  <c r="C169" i="14"/>
  <c r="C155" i="14"/>
  <c r="C139" i="14"/>
  <c r="C127" i="14"/>
  <c r="C111" i="14"/>
  <c r="C83" i="14"/>
  <c r="C190" i="14"/>
  <c r="C205" i="14"/>
  <c r="C221" i="14"/>
  <c r="C236" i="14"/>
  <c r="C251" i="14"/>
  <c r="C267" i="14"/>
  <c r="C275" i="14"/>
  <c r="C290" i="14"/>
  <c r="C306" i="14"/>
  <c r="C321" i="14"/>
  <c r="C337" i="14"/>
  <c r="C352" i="14"/>
  <c r="C367" i="14"/>
  <c r="C383" i="14"/>
  <c r="C396" i="14"/>
  <c r="C408" i="14"/>
  <c r="C421" i="14"/>
  <c r="C433" i="14"/>
  <c r="C446" i="14"/>
  <c r="C458" i="14"/>
  <c r="C472" i="14"/>
  <c r="C484" i="14"/>
  <c r="C497" i="14"/>
  <c r="C509" i="14"/>
  <c r="C522" i="14"/>
  <c r="C535" i="14"/>
  <c r="C548" i="14"/>
  <c r="C560" i="14"/>
  <c r="C573" i="14"/>
  <c r="C586" i="14"/>
  <c r="C598" i="14"/>
  <c r="C611" i="14"/>
  <c r="C617" i="14"/>
  <c r="C630" i="14"/>
  <c r="C642" i="14"/>
  <c r="C655" i="14"/>
  <c r="C667" i="14"/>
  <c r="C680" i="14"/>
  <c r="C693" i="14"/>
  <c r="C705" i="14"/>
  <c r="C717" i="14"/>
  <c r="C730" i="14"/>
  <c r="C181" i="14"/>
  <c r="C198" i="14"/>
  <c r="C215" i="14"/>
  <c r="C233" i="14"/>
  <c r="C254" i="14"/>
  <c r="C276" i="14"/>
  <c r="C299" i="14"/>
  <c r="C320" i="14"/>
  <c r="C343" i="14"/>
  <c r="C366" i="14"/>
  <c r="C387" i="14"/>
  <c r="C403" i="14"/>
  <c r="C432" i="14"/>
  <c r="C463" i="14"/>
  <c r="C493" i="14"/>
  <c r="C520" i="14"/>
  <c r="C550" i="14"/>
  <c r="C579" i="14"/>
  <c r="C607" i="14"/>
  <c r="C623" i="14"/>
  <c r="C651" i="14"/>
  <c r="C681" i="14"/>
  <c r="C712" i="14"/>
  <c r="C738" i="14"/>
  <c r="C750" i="14"/>
  <c r="C761" i="14"/>
  <c r="C766" i="14"/>
  <c r="C777" i="14"/>
  <c r="C788" i="14"/>
  <c r="C799" i="14"/>
  <c r="C810" i="14"/>
  <c r="C820" i="14"/>
  <c r="C830" i="14"/>
  <c r="C841" i="14"/>
  <c r="C851" i="14"/>
  <c r="C862" i="14"/>
  <c r="C873" i="14"/>
  <c r="C883" i="14"/>
  <c r="C889" i="14"/>
  <c r="C899" i="14"/>
  <c r="C910" i="14"/>
  <c r="C922" i="14"/>
  <c r="C932" i="14"/>
  <c r="C943" i="14"/>
  <c r="C954" i="14"/>
  <c r="C964" i="14"/>
  <c r="C975" i="14"/>
  <c r="C986" i="14"/>
  <c r="C996" i="14"/>
  <c r="C1007" i="14"/>
  <c r="C1012" i="14"/>
  <c r="C1023" i="14"/>
  <c r="C1034" i="14"/>
  <c r="C1044" i="14"/>
  <c r="C1061" i="14"/>
  <c r="C1084" i="14"/>
  <c r="C1104" i="14"/>
  <c r="C1125" i="14"/>
  <c r="C1152" i="14"/>
  <c r="C1179" i="14"/>
  <c r="C1208" i="14"/>
  <c r="C1239" i="14"/>
  <c r="C1265" i="14"/>
  <c r="C1293" i="14"/>
  <c r="C28" i="14"/>
  <c r="C95" i="14"/>
  <c r="C184" i="14"/>
  <c r="C192" i="14"/>
  <c r="C199" i="14"/>
  <c r="C207" i="14"/>
  <c r="C214" i="14"/>
  <c r="C223" i="14"/>
  <c r="C230" i="14"/>
  <c r="C238" i="14"/>
  <c r="C245" i="14"/>
  <c r="C253" i="14"/>
  <c r="C261" i="14"/>
  <c r="C268" i="14"/>
  <c r="C277" i="14"/>
  <c r="C285" i="14"/>
  <c r="C292" i="14"/>
  <c r="C300" i="14"/>
  <c r="C308" i="14"/>
  <c r="C315" i="14"/>
  <c r="C323" i="14"/>
  <c r="C331" i="14"/>
  <c r="C338" i="14"/>
  <c r="C346" i="14"/>
  <c r="C354" i="14"/>
  <c r="C361" i="14"/>
  <c r="C369" i="14"/>
  <c r="C377" i="14"/>
  <c r="C385" i="14"/>
  <c r="C391" i="14"/>
  <c r="C397" i="14"/>
  <c r="C404" i="14"/>
  <c r="C410" i="14"/>
  <c r="C416" i="14"/>
  <c r="C422" i="14"/>
  <c r="C428" i="14"/>
  <c r="C434" i="14"/>
  <c r="C441" i="14"/>
  <c r="C447" i="14"/>
  <c r="C454" i="14"/>
  <c r="C461" i="14"/>
  <c r="C467" i="14"/>
  <c r="C474" i="14"/>
  <c r="C480" i="14"/>
  <c r="C486" i="14"/>
  <c r="C492" i="14"/>
  <c r="C498" i="14"/>
  <c r="C505" i="14"/>
  <c r="C511" i="14"/>
  <c r="C517" i="14"/>
  <c r="C524" i="14"/>
  <c r="C530" i="14"/>
  <c r="C536" i="14"/>
  <c r="C542" i="14"/>
  <c r="C549" i="14"/>
  <c r="C556" i="14"/>
  <c r="C562" i="14"/>
  <c r="C568" i="14"/>
  <c r="C575" i="14"/>
  <c r="C581" i="14"/>
  <c r="C587" i="14"/>
  <c r="C594" i="14"/>
  <c r="C600" i="14"/>
  <c r="C606" i="14"/>
  <c r="C612" i="14"/>
  <c r="C619" i="14"/>
  <c r="C625" i="14"/>
  <c r="C631" i="14"/>
  <c r="C637" i="14"/>
  <c r="C644" i="14"/>
  <c r="C650" i="14"/>
  <c r="C656" i="14"/>
  <c r="C663" i="14"/>
  <c r="C669" i="14"/>
  <c r="C675" i="14"/>
  <c r="C682" i="14"/>
  <c r="C688" i="14"/>
  <c r="C694" i="14"/>
  <c r="C700" i="14"/>
  <c r="C706" i="14"/>
  <c r="C713" i="14"/>
  <c r="C719" i="14"/>
  <c r="C725" i="14"/>
  <c r="C731" i="14"/>
  <c r="C739" i="14"/>
  <c r="C183" i="14"/>
  <c r="C191" i="14"/>
  <c r="C200" i="14"/>
  <c r="C208" i="14"/>
  <c r="C218" i="14"/>
  <c r="C227" i="14"/>
  <c r="C235" i="14"/>
  <c r="C246" i="14"/>
  <c r="C258" i="14"/>
  <c r="C269" i="14"/>
  <c r="C278" i="14"/>
  <c r="C291" i="14"/>
  <c r="C301" i="14"/>
  <c r="C312" i="14"/>
  <c r="C324" i="14"/>
  <c r="C334" i="14"/>
  <c r="C345" i="14"/>
  <c r="C357" i="14"/>
  <c r="C368" i="14"/>
  <c r="C378" i="14"/>
  <c r="C392" i="14"/>
  <c r="C406" i="14"/>
  <c r="C420" i="14"/>
  <c r="C437" i="14"/>
  <c r="C450" i="14"/>
  <c r="C465" i="14"/>
  <c r="C482" i="14"/>
  <c r="C496" i="14"/>
  <c r="C510" i="14"/>
  <c r="C526" i="14"/>
  <c r="C540" i="14"/>
  <c r="C553" i="14"/>
  <c r="C569" i="14"/>
  <c r="C582" i="14"/>
  <c r="C596" i="14"/>
  <c r="C613" i="14"/>
  <c r="C626" i="14"/>
  <c r="C640" i="14"/>
  <c r="C657" i="14"/>
  <c r="C670" i="14"/>
  <c r="C684" i="14"/>
  <c r="C701" i="14"/>
  <c r="C715" i="14"/>
  <c r="C729" i="14"/>
  <c r="C741" i="14"/>
  <c r="C746" i="14"/>
  <c r="C751" i="14"/>
  <c r="C757" i="14"/>
  <c r="C762" i="14"/>
  <c r="C767" i="14"/>
  <c r="C773" i="14"/>
  <c r="C778" i="14"/>
  <c r="C784" i="14"/>
  <c r="C790" i="14"/>
  <c r="C795" i="14"/>
  <c r="C800" i="14"/>
  <c r="C806" i="14"/>
  <c r="C811" i="14"/>
  <c r="C816" i="14"/>
  <c r="C821" i="14"/>
  <c r="C826" i="14"/>
  <c r="C831" i="14"/>
  <c r="C837" i="14"/>
  <c r="C842" i="14"/>
  <c r="C847" i="14"/>
  <c r="C853" i="14"/>
  <c r="C858" i="14"/>
  <c r="C863" i="14"/>
  <c r="C869" i="14"/>
  <c r="C874" i="14"/>
  <c r="C879" i="14"/>
  <c r="C885" i="14"/>
  <c r="C890" i="14"/>
  <c r="C895" i="14"/>
  <c r="C901" i="14"/>
  <c r="C906" i="14"/>
  <c r="C912" i="14"/>
  <c r="C918" i="14"/>
  <c r="C923" i="14"/>
  <c r="C928" i="14"/>
  <c r="C934" i="14"/>
  <c r="C939" i="14"/>
  <c r="C944" i="14"/>
  <c r="C950" i="14"/>
  <c r="C955" i="14"/>
  <c r="C960" i="14"/>
  <c r="C966" i="14"/>
  <c r="C971" i="14"/>
  <c r="C976" i="14"/>
  <c r="C982" i="14"/>
  <c r="C987" i="14"/>
  <c r="C992" i="14"/>
  <c r="C998" i="14"/>
  <c r="C1003" i="14"/>
  <c r="C1008" i="14"/>
  <c r="C1014" i="14"/>
  <c r="C1019" i="14"/>
  <c r="C1024" i="14"/>
  <c r="C1030" i="14"/>
  <c r="C1035" i="14"/>
  <c r="C1040" i="14"/>
  <c r="C1046" i="14"/>
  <c r="C1053" i="14"/>
  <c r="C1064" i="14"/>
  <c r="C1076" i="14"/>
  <c r="C1085" i="14"/>
  <c r="C1096" i="14"/>
  <c r="C1108" i="14"/>
  <c r="C1117" i="14"/>
  <c r="C1128" i="14"/>
  <c r="C1142" i="14"/>
  <c r="C1154" i="14"/>
  <c r="C1168" i="14"/>
  <c r="C1184" i="14"/>
  <c r="C1197" i="14"/>
  <c r="C1212" i="14"/>
  <c r="C1228" i="14"/>
  <c r="C1240" i="14"/>
  <c r="C1255" i="14"/>
  <c r="C1271" i="14"/>
  <c r="C1283" i="14"/>
  <c r="A5" i="8"/>
  <c r="C17" i="14"/>
  <c r="C29" i="14"/>
  <c r="C44" i="14"/>
  <c r="C60" i="14"/>
  <c r="C72" i="14"/>
  <c r="C165" i="14"/>
  <c r="C149" i="14"/>
  <c r="C137" i="14"/>
  <c r="C122" i="14"/>
  <c r="C106" i="14"/>
  <c r="C94" i="14"/>
  <c r="C79" i="14"/>
  <c r="D68" i="7"/>
  <c r="H1065" i="14" s="1"/>
  <c r="H82" i="14"/>
  <c r="F107" i="7"/>
  <c r="H1195" i="14" s="1"/>
  <c r="K17" i="5"/>
  <c r="H398" i="14" s="1"/>
  <c r="D46" i="2"/>
  <c r="E18" i="7"/>
  <c r="H982" i="14" s="1"/>
  <c r="I18" i="8"/>
  <c r="H1286" i="14" s="1"/>
  <c r="B31" i="8"/>
  <c r="D40" i="6"/>
  <c r="H488" i="14" s="1"/>
  <c r="M40" i="6"/>
  <c r="H758" i="14" s="1"/>
  <c r="J35" i="6"/>
  <c r="H663" i="14" s="1"/>
  <c r="P40" i="6"/>
  <c r="H848" i="14" s="1"/>
  <c r="N29" i="6"/>
  <c r="H777" i="14" s="1"/>
  <c r="J30" i="6"/>
  <c r="Q32" i="6"/>
  <c r="H870" i="14" s="1"/>
  <c r="J39" i="6"/>
  <c r="H667" i="14" s="1"/>
  <c r="C17" i="5"/>
  <c r="C31" i="5" s="1"/>
  <c r="C34" i="5" s="1"/>
  <c r="H239" i="14" s="1"/>
  <c r="D14" i="12"/>
  <c r="D9" i="12"/>
  <c r="G31" i="5"/>
  <c r="G34" i="5" s="1"/>
  <c r="H327" i="14" s="1"/>
  <c r="E17" i="5"/>
  <c r="J17" i="5"/>
  <c r="B31" i="10"/>
  <c r="B31" i="11"/>
  <c r="B33" i="10"/>
  <c r="B33" i="11"/>
  <c r="B114" i="7"/>
  <c r="A5" i="9"/>
  <c r="A5" i="10"/>
  <c r="B111" i="7"/>
  <c r="B31" i="9"/>
  <c r="C48" i="6"/>
  <c r="B33" i="9"/>
  <c r="H31" i="3"/>
  <c r="H36" i="3" s="1"/>
  <c r="Q29" i="6"/>
  <c r="H867" i="14" s="1"/>
  <c r="H558" i="14"/>
  <c r="K40" i="6"/>
  <c r="H698" i="14" s="1"/>
  <c r="Q18" i="6"/>
  <c r="H858" i="14" s="1"/>
  <c r="J37" i="6"/>
  <c r="H665" i="14" s="1"/>
  <c r="H778" i="14"/>
  <c r="D12" i="12"/>
  <c r="O40" i="6"/>
  <c r="H818" i="14" s="1"/>
  <c r="G34" i="6"/>
  <c r="Q25" i="6"/>
  <c r="H864" i="14" s="1"/>
  <c r="L40" i="6"/>
  <c r="H728" i="14" s="1"/>
  <c r="N34" i="6"/>
  <c r="H782" i="14" s="1"/>
  <c r="Q11" i="6"/>
  <c r="H851" i="14" s="1"/>
  <c r="H837" i="14"/>
  <c r="Q38" i="6"/>
  <c r="I40" i="6"/>
  <c r="H638" i="14" s="1"/>
  <c r="H779" i="14"/>
  <c r="H781" i="14"/>
  <c r="H783" i="14"/>
  <c r="L19" i="5"/>
  <c r="H422" i="14" s="1"/>
  <c r="D21" i="7"/>
  <c r="H953" i="14" s="1"/>
  <c r="E13" i="7"/>
  <c r="H977" i="14" s="1"/>
  <c r="G71" i="2"/>
  <c r="H120" i="14" s="1"/>
  <c r="J31" i="6"/>
  <c r="H659" i="14" s="1"/>
  <c r="L18" i="5"/>
  <c r="H421" i="14" s="1"/>
  <c r="H561" i="14"/>
  <c r="H564" i="14"/>
  <c r="D31" i="3"/>
  <c r="D36" i="3" s="1"/>
  <c r="H37" i="2"/>
  <c r="H95" i="2" s="1"/>
  <c r="H222" i="14"/>
  <c r="D94" i="2"/>
  <c r="D56" i="2"/>
  <c r="C85" i="2"/>
  <c r="H64" i="14" s="1"/>
  <c r="D45" i="7"/>
  <c r="D46" i="7" s="1"/>
  <c r="H975" i="14" s="1"/>
  <c r="Q26" i="6"/>
  <c r="H865" i="14" s="1"/>
  <c r="J33" i="6"/>
  <c r="H661" i="14" s="1"/>
  <c r="H40" i="6"/>
  <c r="H608" i="14" s="1"/>
  <c r="H565" i="14"/>
  <c r="H767" i="14"/>
  <c r="H554" i="14"/>
  <c r="H266" i="14"/>
  <c r="E31" i="5"/>
  <c r="E34" i="5" s="1"/>
  <c r="H283" i="14" s="1"/>
  <c r="H284" i="14"/>
  <c r="F17" i="5"/>
  <c r="H288" i="14" s="1"/>
  <c r="M17" i="5"/>
  <c r="H442" i="14" s="1"/>
  <c r="H438" i="14"/>
  <c r="H338" i="14"/>
  <c r="H873" i="14"/>
  <c r="H1167" i="14"/>
  <c r="F98" i="7"/>
  <c r="D17" i="5"/>
  <c r="L13" i="5"/>
  <c r="H416" i="14" s="1"/>
  <c r="H240" i="14"/>
  <c r="H350" i="14"/>
  <c r="I17" i="5"/>
  <c r="H241" i="14"/>
  <c r="L14" i="5"/>
  <c r="H417" i="14" s="1"/>
  <c r="H17" i="5"/>
  <c r="H332" i="14" s="1"/>
  <c r="H329" i="14"/>
  <c r="R36" i="6"/>
  <c r="H904" i="14" s="1"/>
  <c r="H664" i="14"/>
  <c r="H294" i="14"/>
  <c r="H658" i="14"/>
  <c r="R30" i="6"/>
  <c r="H898" i="14" s="1"/>
  <c r="R22" i="6"/>
  <c r="H574" i="14"/>
  <c r="H785" i="14"/>
  <c r="H576" i="14"/>
  <c r="H787" i="14"/>
  <c r="H789" i="14"/>
  <c r="H648" i="14"/>
  <c r="D15" i="12"/>
  <c r="B53" i="3"/>
  <c r="D13" i="12"/>
  <c r="C68" i="7"/>
  <c r="H1022" i="14" s="1"/>
  <c r="J15" i="6"/>
  <c r="H645" i="14" s="1"/>
  <c r="J13" i="6"/>
  <c r="H643" i="14" s="1"/>
  <c r="H829" i="14"/>
  <c r="H87" i="14"/>
  <c r="B54" i="4"/>
  <c r="H918" i="14"/>
  <c r="C21" i="7"/>
  <c r="H921" i="14" s="1"/>
  <c r="Q24" i="6"/>
  <c r="H863" i="14" s="1"/>
  <c r="H764" i="14"/>
  <c r="Q14" i="6"/>
  <c r="H854" i="14" s="1"/>
  <c r="H654" i="14"/>
  <c r="R21" i="6"/>
  <c r="H891" i="14" s="1"/>
  <c r="H651" i="14"/>
  <c r="G19" i="6"/>
  <c r="H559" i="14" s="1"/>
  <c r="H69" i="14"/>
  <c r="G29" i="6"/>
  <c r="H567" i="14" s="1"/>
  <c r="I27" i="8"/>
  <c r="H1294" i="14" s="1"/>
  <c r="C44" i="4"/>
  <c r="H212" i="14" s="1"/>
  <c r="E77" i="7"/>
  <c r="H1114" i="14" s="1"/>
  <c r="D87" i="7"/>
  <c r="H1081" i="14" s="1"/>
  <c r="E92" i="7"/>
  <c r="H1129" i="14" s="1"/>
  <c r="H1038" i="14"/>
  <c r="C98" i="7"/>
  <c r="H1049" i="14" s="1"/>
  <c r="H1043" i="14"/>
  <c r="E82" i="7"/>
  <c r="H1119" i="14" s="1"/>
  <c r="E73" i="7"/>
  <c r="E58" i="7"/>
  <c r="H1098" i="14" s="1"/>
  <c r="E40" i="7"/>
  <c r="H1001" i="14" s="1"/>
  <c r="E35" i="7"/>
  <c r="H996" i="14" s="1"/>
  <c r="C45" i="7"/>
  <c r="H942" i="14" s="1"/>
  <c r="E26" i="7"/>
  <c r="J41" i="6"/>
  <c r="F40" i="6"/>
  <c r="H548" i="14" s="1"/>
  <c r="E40" i="6"/>
  <c r="E42" i="6" s="1"/>
  <c r="H520" i="14" s="1"/>
  <c r="J32" i="6"/>
  <c r="G27" i="6"/>
  <c r="J27" i="6" s="1"/>
  <c r="H655" i="14"/>
  <c r="H653" i="14"/>
  <c r="H506" i="14"/>
  <c r="N27" i="6"/>
  <c r="Q27" i="6" s="1"/>
  <c r="H866" i="14" s="1"/>
  <c r="H772" i="14"/>
  <c r="H652" i="14"/>
  <c r="R23" i="6"/>
  <c r="H892" i="14" s="1"/>
  <c r="H560" i="14"/>
  <c r="R20" i="6"/>
  <c r="H890" i="14" s="1"/>
  <c r="H650" i="14"/>
  <c r="M42" i="6"/>
  <c r="H760" i="14" s="1"/>
  <c r="Q15" i="6"/>
  <c r="H855" i="14" s="1"/>
  <c r="O42" i="6"/>
  <c r="H820" i="14" s="1"/>
  <c r="Q12" i="6"/>
  <c r="H852" i="14" s="1"/>
  <c r="H853" i="14"/>
  <c r="Q16" i="6"/>
  <c r="H856" i="14" s="1"/>
  <c r="H763" i="14"/>
  <c r="N19" i="6"/>
  <c r="J17" i="6"/>
  <c r="H644" i="14"/>
  <c r="J12" i="6"/>
  <c r="H642" i="14" s="1"/>
  <c r="J11" i="6"/>
  <c r="L23" i="5"/>
  <c r="H426" i="14" s="1"/>
  <c r="L26" i="5"/>
  <c r="H429" i="14" s="1"/>
  <c r="H161" i="14"/>
  <c r="G31" i="3"/>
  <c r="C31" i="3"/>
  <c r="H143" i="14" s="1"/>
  <c r="H137" i="14"/>
  <c r="G56" i="2"/>
  <c r="G37" i="2"/>
  <c r="C11" i="12" s="1"/>
  <c r="H79" i="14"/>
  <c r="H57" i="14"/>
  <c r="H22" i="14"/>
  <c r="C56" i="2"/>
  <c r="D15" i="13"/>
  <c r="D44" i="4"/>
  <c r="D46" i="4" s="1"/>
  <c r="B98" i="2"/>
  <c r="B50" i="3"/>
  <c r="B38" i="5"/>
  <c r="F31" i="5" l="1"/>
  <c r="H236" i="14"/>
  <c r="R35" i="6"/>
  <c r="H903" i="14" s="1"/>
  <c r="K31" i="5"/>
  <c r="R37" i="6"/>
  <c r="H905" i="14" s="1"/>
  <c r="D42" i="6"/>
  <c r="H490" i="14" s="1"/>
  <c r="R39" i="6"/>
  <c r="H907" i="14" s="1"/>
  <c r="I42" i="6"/>
  <c r="H640" i="14" s="1"/>
  <c r="P42" i="6"/>
  <c r="H850" i="14" s="1"/>
  <c r="H324" i="14"/>
  <c r="H376" i="14"/>
  <c r="J31" i="5"/>
  <c r="K42" i="6"/>
  <c r="H700" i="14" s="1"/>
  <c r="L42" i="6"/>
  <c r="H730" i="14" s="1"/>
  <c r="R18" i="6"/>
  <c r="H888" i="14" s="1"/>
  <c r="M31" i="5"/>
  <c r="M34" i="5" s="1"/>
  <c r="H459" i="14" s="1"/>
  <c r="H572" i="14"/>
  <c r="J34" i="6"/>
  <c r="H662" i="14" s="1"/>
  <c r="R25" i="6"/>
  <c r="H894" i="14" s="1"/>
  <c r="Q34" i="6"/>
  <c r="H872" i="14" s="1"/>
  <c r="H876" i="14"/>
  <c r="R38" i="6"/>
  <c r="H906" i="14" s="1"/>
  <c r="N40" i="6"/>
  <c r="E21" i="7"/>
  <c r="H985" i="14" s="1"/>
  <c r="R31" i="6"/>
  <c r="H899" i="14" s="1"/>
  <c r="D95" i="2"/>
  <c r="E68" i="7"/>
  <c r="H1108" i="14" s="1"/>
  <c r="H974" i="14"/>
  <c r="G79" i="2"/>
  <c r="D11" i="13" s="1"/>
  <c r="C94" i="2"/>
  <c r="H71" i="14" s="1"/>
  <c r="D33" i="3"/>
  <c r="R33" i="6"/>
  <c r="H901" i="14" s="1"/>
  <c r="H33" i="3"/>
  <c r="H42" i="6"/>
  <c r="H610" i="14" s="1"/>
  <c r="H280" i="14"/>
  <c r="R24" i="6"/>
  <c r="H893" i="14" s="1"/>
  <c r="R26" i="6"/>
  <c r="H895" i="14" s="1"/>
  <c r="H566" i="14"/>
  <c r="H31" i="5"/>
  <c r="H302" i="14"/>
  <c r="F34" i="5"/>
  <c r="H305" i="14" s="1"/>
  <c r="I31" i="5"/>
  <c r="H354" i="14"/>
  <c r="H244" i="14"/>
  <c r="D31" i="5"/>
  <c r="L17" i="5"/>
  <c r="H420" i="14" s="1"/>
  <c r="H1178" i="14"/>
  <c r="F99" i="7"/>
  <c r="H1179" i="14" s="1"/>
  <c r="J19" i="6"/>
  <c r="H649" i="14" s="1"/>
  <c r="R13" i="6"/>
  <c r="H883" i="14" s="1"/>
  <c r="R14" i="6"/>
  <c r="H884" i="14" s="1"/>
  <c r="J29" i="6"/>
  <c r="H657" i="14" s="1"/>
  <c r="R12" i="6"/>
  <c r="H882" i="14" s="1"/>
  <c r="F42" i="6"/>
  <c r="H550" i="14" s="1"/>
  <c r="H94" i="14"/>
  <c r="D4" i="13"/>
  <c r="C46" i="4"/>
  <c r="H214" i="14" s="1"/>
  <c r="D98" i="7"/>
  <c r="D99" i="7" s="1"/>
  <c r="H1093" i="14" s="1"/>
  <c r="E87" i="7"/>
  <c r="H1124" i="14" s="1"/>
  <c r="C99" i="7"/>
  <c r="H1050" i="14" s="1"/>
  <c r="H1110" i="14"/>
  <c r="C46" i="7"/>
  <c r="H943" i="14" s="1"/>
  <c r="H987" i="14"/>
  <c r="E45" i="7"/>
  <c r="H669" i="14"/>
  <c r="R41" i="6"/>
  <c r="H909" i="14" s="1"/>
  <c r="R32" i="6"/>
  <c r="H900" i="14" s="1"/>
  <c r="H660" i="14"/>
  <c r="G40" i="6"/>
  <c r="H518" i="14"/>
  <c r="H776" i="14"/>
  <c r="R27" i="6"/>
  <c r="H896" i="14" s="1"/>
  <c r="H656" i="14"/>
  <c r="R15" i="6"/>
  <c r="H885" i="14" s="1"/>
  <c r="H769" i="14"/>
  <c r="N42" i="6"/>
  <c r="H790" i="14" s="1"/>
  <c r="Q19" i="6"/>
  <c r="R17" i="6"/>
  <c r="H887" i="14" s="1"/>
  <c r="H647" i="14"/>
  <c r="R16" i="6"/>
  <c r="H886" i="14" s="1"/>
  <c r="H641" i="14"/>
  <c r="R11" i="6"/>
  <c r="H881" i="14" s="1"/>
  <c r="G36" i="3"/>
  <c r="H174" i="14" s="1"/>
  <c r="H170" i="14"/>
  <c r="C36" i="3"/>
  <c r="H147" i="14" s="1"/>
  <c r="C33" i="3"/>
  <c r="H144" i="14" s="1"/>
  <c r="G33" i="3"/>
  <c r="H171" i="14" s="1"/>
  <c r="D18" i="13"/>
  <c r="H107" i="14"/>
  <c r="C7" i="12"/>
  <c r="D7" i="12" s="1"/>
  <c r="H41" i="14"/>
  <c r="H37" i="3"/>
  <c r="D42" i="3"/>
  <c r="D45" i="3" s="1"/>
  <c r="D37" i="3"/>
  <c r="H412" i="14" l="1"/>
  <c r="K34" i="5"/>
  <c r="H415" i="14" s="1"/>
  <c r="R34" i="6"/>
  <c r="H902" i="14" s="1"/>
  <c r="J34" i="5"/>
  <c r="H393" i="14" s="1"/>
  <c r="H390" i="14"/>
  <c r="H456" i="14"/>
  <c r="H788" i="14"/>
  <c r="Q40" i="6"/>
  <c r="H878" i="14" s="1"/>
  <c r="C95" i="2"/>
  <c r="D16" i="13" s="1"/>
  <c r="D10" i="13"/>
  <c r="D12" i="13"/>
  <c r="D5" i="13"/>
  <c r="D19" i="13" s="1"/>
  <c r="G95" i="2"/>
  <c r="H125" i="14" s="1"/>
  <c r="D13" i="13"/>
  <c r="H124" i="14"/>
  <c r="R29" i="6"/>
  <c r="H897" i="14" s="1"/>
  <c r="I34" i="5"/>
  <c r="H371" i="14" s="1"/>
  <c r="H368" i="14"/>
  <c r="D34" i="5"/>
  <c r="H258" i="14"/>
  <c r="L31" i="5"/>
  <c r="H434" i="14" s="1"/>
  <c r="H346" i="14"/>
  <c r="H34" i="5"/>
  <c r="H349" i="14" s="1"/>
  <c r="R19" i="6"/>
  <c r="H889" i="14" s="1"/>
  <c r="E10" i="12"/>
  <c r="D10" i="12" s="1"/>
  <c r="E98" i="7"/>
  <c r="H1135" i="14" s="1"/>
  <c r="H1092" i="14"/>
  <c r="H1006" i="14"/>
  <c r="E46" i="7"/>
  <c r="H1007" i="14" s="1"/>
  <c r="J40" i="6"/>
  <c r="H578" i="14"/>
  <c r="G42" i="6"/>
  <c r="H580" i="14" s="1"/>
  <c r="H859" i="14"/>
  <c r="D8" i="13"/>
  <c r="C42" i="3"/>
  <c r="H153" i="14" s="1"/>
  <c r="C37" i="3"/>
  <c r="D21" i="13" s="1"/>
  <c r="G37" i="3"/>
  <c r="H175" i="14" s="1"/>
  <c r="H42" i="3"/>
  <c r="Q42" i="6" l="1"/>
  <c r="H880" i="14" s="1"/>
  <c r="C6" i="12"/>
  <c r="D6" i="13"/>
  <c r="D20" i="13" s="1"/>
  <c r="H72" i="14"/>
  <c r="E6" i="12"/>
  <c r="H261" i="14"/>
  <c r="L34" i="5"/>
  <c r="E99" i="7"/>
  <c r="H1136" i="14" s="1"/>
  <c r="H668" i="14"/>
  <c r="R40" i="6"/>
  <c r="J42" i="6"/>
  <c r="H670" i="14" s="1"/>
  <c r="C45" i="3"/>
  <c r="H156" i="14" s="1"/>
  <c r="H148" i="14"/>
  <c r="G42" i="3"/>
  <c r="G44" i="3" s="1"/>
  <c r="H178" i="14" s="1"/>
  <c r="D23" i="13"/>
  <c r="D22" i="13"/>
  <c r="D24" i="13"/>
  <c r="H45" i="3"/>
  <c r="D44" i="3"/>
  <c r="H44" i="3"/>
  <c r="D6" i="12" l="1"/>
  <c r="E11" i="12"/>
  <c r="D11" i="12" s="1"/>
  <c r="H437" i="14"/>
  <c r="H908" i="14"/>
  <c r="R42" i="6"/>
  <c r="H910" i="14" s="1"/>
  <c r="C44" i="3"/>
  <c r="E8" i="12" s="1"/>
  <c r="D8" i="12" s="1"/>
  <c r="H176" i="14"/>
  <c r="G45" i="3"/>
  <c r="H179" i="14" s="1"/>
  <c r="H155" i="14" l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<sst xmlns="http://schemas.openxmlformats.org/spreadsheetml/2006/main" count="4363" uniqueCount="974">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</sst>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Normal="100" zoomScaleSheetLayoutView="85" workbookViewId="0">
      <selection activeCell="B11" sqref="B11"/>
    </sheetView>
  </sheetViews>
  <sheetFormatPr defaultColWidth="9.140625" defaultRowHeight="15.75"/>
  <cols>
    <col min="1" max="1" width="30.7109375" style="645" customWidth="1"/>
    <col min="2" max="2" width="65.7109375" style="645" customWidth="1"/>
    <col min="3" max="26" width="11.42578125" style="645" customWidth="1"/>
    <col min="27" max="27" width="9.85546875" style="645" bestFit="1" customWidth="1"/>
    <col min="28" max="256" width="11.42578125" style="645" customWidth="1"/>
    <col min="257" max="16384" width="9.140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43465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43579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7.2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43101</v>
      </c>
    </row>
    <row r="10" spans="1:27">
      <c r="A10" s="7" t="s">
        <v>2</v>
      </c>
      <c r="B10" s="661">
        <v>43465</v>
      </c>
    </row>
    <row r="11" spans="1:27">
      <c r="A11" s="7" t="s">
        <v>950</v>
      </c>
      <c r="B11" s="661">
        <v>43579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968</v>
      </c>
    </row>
    <row r="18" spans="1:2">
      <c r="A18" s="7" t="s">
        <v>893</v>
      </c>
      <c r="B18" s="538" t="s">
        <v>969</v>
      </c>
    </row>
    <row r="19" spans="1:2">
      <c r="A19" s="7" t="s">
        <v>4</v>
      </c>
      <c r="B19" s="538" t="s">
        <v>972</v>
      </c>
    </row>
    <row r="20" spans="1:2">
      <c r="A20" s="7" t="s">
        <v>5</v>
      </c>
      <c r="B20" s="538" t="s">
        <v>973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970</v>
      </c>
    </row>
    <row r="27" spans="1:2">
      <c r="A27" s="10" t="s">
        <v>944</v>
      </c>
      <c r="B27" s="539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F2D4D9F9-DE61-45A3-92A2-4E78F2B34B7F}" fitToPage="1">
      <selection activeCell="A3" sqref="A3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I13" sqref="I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3" t="s">
        <v>516</v>
      </c>
      <c r="H10" s="673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1826</v>
      </c>
      <c r="G13" s="432"/>
      <c r="H13" s="432">
        <v>342</v>
      </c>
      <c r="I13" s="433">
        <f>F13+G13-H13</f>
        <v>1484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1826</v>
      </c>
      <c r="G18" s="439">
        <f t="shared" si="1"/>
        <v>0</v>
      </c>
      <c r="H18" s="439">
        <f t="shared" si="1"/>
        <v>342</v>
      </c>
      <c r="I18" s="440">
        <f t="shared" si="0"/>
        <v>1484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43579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K17" sqref="K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3" t="s">
        <v>516</v>
      </c>
      <c r="H10" s="673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956</v>
      </c>
      <c r="G17" s="432"/>
      <c r="H17" s="432"/>
      <c r="I17" s="433">
        <f t="shared" si="0"/>
        <v>956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956</v>
      </c>
      <c r="G18" s="439">
        <f t="shared" si="1"/>
        <v>0</v>
      </c>
      <c r="H18" s="439">
        <f t="shared" si="1"/>
        <v>0</v>
      </c>
      <c r="I18" s="440">
        <f t="shared" si="0"/>
        <v>956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43579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F2D4D9F9-DE61-45A3-92A2-4E78F2B34B7F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abSelected="1" zoomScale="85" zoomScaleNormal="85" zoomScaleSheetLayoutView="85" workbookViewId="0">
      <selection activeCell="N21" sqref="N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73" t="s">
        <v>516</v>
      </c>
      <c r="H10" s="673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f>83-6</f>
        <v>77</v>
      </c>
      <c r="G13" s="432">
        <v>6</v>
      </c>
      <c r="H13" s="432"/>
      <c r="I13" s="433">
        <f>F13+G13-H13</f>
        <v>83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77</v>
      </c>
      <c r="G18" s="439">
        <f t="shared" si="1"/>
        <v>6</v>
      </c>
      <c r="H18" s="439">
        <f t="shared" si="1"/>
        <v>0</v>
      </c>
      <c r="I18" s="440">
        <f t="shared" si="0"/>
        <v>83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43579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8"/>
      <c r="C35" s="738"/>
      <c r="D35" s="738"/>
      <c r="E35" s="738"/>
      <c r="F35" s="738"/>
      <c r="G35" s="738"/>
      <c r="H35" s="738"/>
      <c r="I35" s="738"/>
    </row>
    <row r="36" spans="1:9" s="107" customFormat="1">
      <c r="A36" s="652" t="s">
        <v>894</v>
      </c>
      <c r="B36" s="746"/>
      <c r="C36" s="746"/>
      <c r="D36" s="746"/>
      <c r="E36" s="746"/>
      <c r="F36" s="746"/>
      <c r="G36" s="746"/>
      <c r="H36" s="746"/>
      <c r="I36" s="746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F2D4D9F9-DE61-45A3-92A2-4E78F2B34B7F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01.01.2018 г. до 31.12.2018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1010603</v>
      </c>
      <c r="D6" s="634">
        <f t="shared" ref="D6:D15" si="0">C6-E6</f>
        <v>0</v>
      </c>
      <c r="E6" s="633">
        <f>'1-Баланс'!G95</f>
        <v>1010603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475560</v>
      </c>
      <c r="D7" s="634">
        <f t="shared" si="0"/>
        <v>374099</v>
      </c>
      <c r="E7" s="633">
        <f>'1-Баланс'!G18</f>
        <v>101461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28343</v>
      </c>
      <c r="D8" s="634">
        <f t="shared" si="0"/>
        <v>0</v>
      </c>
      <c r="E8" s="633">
        <f>ABS('2-Отчет за доходите'!C44)-ABS('2-Отчет за доходите'!G44)</f>
        <v>28343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33328</v>
      </c>
      <c r="D9" s="634">
        <f t="shared" si="0"/>
        <v>10714</v>
      </c>
      <c r="E9" s="633">
        <f>'3-Отчет за паричния поток'!C45</f>
        <v>22614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25582</v>
      </c>
      <c r="D10" s="634">
        <f t="shared" si="0"/>
        <v>1453</v>
      </c>
      <c r="E10" s="633">
        <f>'3-Отчет за паричния поток'!C46</f>
        <v>24129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475560</v>
      </c>
      <c r="D11" s="634">
        <f t="shared" si="0"/>
        <v>0</v>
      </c>
      <c r="E11" s="633">
        <f>'4-Отчет за собствения капитал'!L34</f>
        <v>475560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44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20339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8598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2.3815825848611576E-2</v>
      </c>
      <c r="E3" s="605"/>
    </row>
    <row r="4" spans="1:5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5.9599209353183615E-2</v>
      </c>
    </row>
    <row r="5" spans="1:5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5.6451837776901416E-2</v>
      </c>
    </row>
    <row r="6" spans="1:5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2.8045632162184361E-2</v>
      </c>
    </row>
    <row r="7" spans="1:5" ht="24" customHeight="1">
      <c r="A7" s="604" t="s">
        <v>866</v>
      </c>
      <c r="B7" s="602"/>
      <c r="C7" s="602"/>
      <c r="D7" s="603"/>
    </row>
    <row r="8" spans="1:5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1.0304731929204303</v>
      </c>
    </row>
    <row r="9" spans="1:5" ht="24" customHeight="1">
      <c r="A9" s="604" t="s">
        <v>869</v>
      </c>
      <c r="B9" s="602"/>
      <c r="C9" s="602"/>
      <c r="D9" s="603"/>
    </row>
    <row r="10" spans="1:5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1.224107701796493</v>
      </c>
    </row>
    <row r="11" spans="1:5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0.67530070524533437</v>
      </c>
    </row>
    <row r="12" spans="1:5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5.909461560317765E-2</v>
      </c>
    </row>
    <row r="13" spans="1:5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5.909461560317765E-2</v>
      </c>
    </row>
    <row r="14" spans="1:5" ht="24" customHeight="1">
      <c r="A14" s="604" t="s">
        <v>876</v>
      </c>
      <c r="B14" s="602"/>
      <c r="C14" s="602"/>
      <c r="D14" s="603"/>
    </row>
    <row r="15" spans="1:5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1.8803479167654169</v>
      </c>
    </row>
    <row r="16" spans="1:5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1.1776048557148553</v>
      </c>
    </row>
    <row r="17" spans="1:5" ht="24" customHeight="1">
      <c r="A17" s="604" t="s">
        <v>879</v>
      </c>
      <c r="B17" s="602"/>
      <c r="C17" s="602"/>
      <c r="D17" s="603"/>
    </row>
    <row r="18" spans="1:5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0.12698835213452411</v>
      </c>
    </row>
    <row r="19" spans="1:5" ht="31.5">
      <c r="A19" s="552">
        <v>13</v>
      </c>
      <c r="B19" s="550" t="s">
        <v>907</v>
      </c>
      <c r="C19" s="551" t="s">
        <v>880</v>
      </c>
      <c r="D19" s="600">
        <f>D4/D5</f>
        <v>1.0557532172596518</v>
      </c>
    </row>
    <row r="20" spans="1:5" ht="31.5">
      <c r="A20" s="552">
        <v>14</v>
      </c>
      <c r="B20" s="550" t="s">
        <v>881</v>
      </c>
      <c r="C20" s="551" t="s">
        <v>882</v>
      </c>
      <c r="D20" s="600">
        <f>D6/D5</f>
        <v>0.49680636214220619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43030</v>
      </c>
      <c r="E21" s="655"/>
    </row>
    <row r="22" spans="1:5" ht="63">
      <c r="A22" s="552">
        <v>16</v>
      </c>
      <c r="B22" s="550" t="s">
        <v>887</v>
      </c>
      <c r="C22" s="551" t="s">
        <v>888</v>
      </c>
      <c r="D22" s="606">
        <f>D21/'1-Баланс'!G37</f>
        <v>9.0482799226175456E-2</v>
      </c>
    </row>
    <row r="23" spans="1:5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6.3735654979774292E-2</v>
      </c>
    </row>
    <row r="24" spans="1:5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6.591925425064006</v>
      </c>
    </row>
  </sheetData>
  <sheetProtection password="D554" sheet="1" objects="1" scenarios="1" insertRows="0"/>
  <customSheetViews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54392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129185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94920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12526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7763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9374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16365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324525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10427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49768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9089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3338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62195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23516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23516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28981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44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20339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8598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28981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23055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2570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3829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29454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1590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480688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34313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36514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155470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9466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235763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9942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224514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11397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3303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5804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9866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1929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266755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3871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20232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1479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25582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1815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529915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1010603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-33337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101461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33031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55967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55967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88998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256758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259011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-2253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28343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285101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475560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32969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41124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2785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43909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6015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11781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7470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69175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242859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14874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145794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467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123627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849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11474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2702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6675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29372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432899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432899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1010603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91303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75897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33135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101207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18234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825571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-8773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15449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4780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1152023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7691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11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565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1461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9728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1161751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33263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2076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1159675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35339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4702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4702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30637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2294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28343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1195014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250809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928334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9407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1541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1190091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889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3786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96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152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4034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1195014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1195014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1195014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1201720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-1142091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-110689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-56168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-8180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-6219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-860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-1297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-123784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-27842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630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-37749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27811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1005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-5990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914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97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-54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-41178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206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-850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57119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-17184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-2205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-1257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-22613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153261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166477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43465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1515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43465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22614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43465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24129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43465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24103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43465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1479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43465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100964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43465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43465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43465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43465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100964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43465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43465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43465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43465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43465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43465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43465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43465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43465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43465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43465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43465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43465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497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43465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101461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43465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43465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43465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101461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43465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43465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43465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43465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43465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43465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43465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43465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43465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43465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43465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43465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43465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43465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43465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43465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43465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43465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43465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43465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43465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43465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43465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35744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43465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43465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43465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43465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35744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43465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43465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43465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43465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43465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43465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43465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43465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43465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43465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43465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43465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43465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-2713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43465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33031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43465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43465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43465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33031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43465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51666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43465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43465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43465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43465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51666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43465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43465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4301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43465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43465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4301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43465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43465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43465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43465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43465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43465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43465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43465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43465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43465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55967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43465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43465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43465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55967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43465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43465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43465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43465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43465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43465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43465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43465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43465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43465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43465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43465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43465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43465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43465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43465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43465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43465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43465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43465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43465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43465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43465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43465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43465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43465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43465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43465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43465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43465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43465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43465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43465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43465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43465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43465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43465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43465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43465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43465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43465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43465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43465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43465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43465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281509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43465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43465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43465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43465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279256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43465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28343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43465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-24407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43465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-20106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43465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-4301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43465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43465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43465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43465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43465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43465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43465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43465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43465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1909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43465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285101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43465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43465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43465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285101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43465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43465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43465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43465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43465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43465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43465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43465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43465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43465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43465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43465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43465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43465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43465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43465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43465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43465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43465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43465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43465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43465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43465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43465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43465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43465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43465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43465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43465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43465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43465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43465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43465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43465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43465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43465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43465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43465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43465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43465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43465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43465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43465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43465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43465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469883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43465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43465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43465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43465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467630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43465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28343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43465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-20106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43465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-20106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43465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43465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43465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43465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43465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43465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43465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43465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43465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43465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-307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43465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475560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43465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43465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43465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475560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43465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33227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43465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-695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43465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-695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43465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43465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32532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43465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2294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43465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-2716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43465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-2716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43465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43465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43465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43465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43465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43465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43465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43465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43465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43465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859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43465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32969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43465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43465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43465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32969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43465</v>
      </c>
      <c r="D461" s="99" t="s">
        <v>523</v>
      </c>
      <c r="E461" s="474">
        <v>1</v>
      </c>
      <c r="F461" s="99" t="s">
        <v>522</v>
      </c>
      <c r="H461" s="99">
        <f>'Справка 6'!D11</f>
        <v>51968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43465</v>
      </c>
      <c r="D462" s="99" t="s">
        <v>526</v>
      </c>
      <c r="E462" s="474">
        <v>1</v>
      </c>
      <c r="F462" s="99" t="s">
        <v>525</v>
      </c>
      <c r="H462" s="99">
        <f>'Справка 6'!D12</f>
        <v>173634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43465</v>
      </c>
      <c r="D463" s="99" t="s">
        <v>529</v>
      </c>
      <c r="E463" s="474">
        <v>1</v>
      </c>
      <c r="F463" s="99" t="s">
        <v>528</v>
      </c>
      <c r="H463" s="99">
        <f>'Справка 6'!D13</f>
        <v>214038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43465</v>
      </c>
      <c r="D464" s="99" t="s">
        <v>532</v>
      </c>
      <c r="E464" s="474">
        <v>1</v>
      </c>
      <c r="F464" s="99" t="s">
        <v>531</v>
      </c>
      <c r="H464" s="99">
        <f>'Справка 6'!D14</f>
        <v>16926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43465</v>
      </c>
      <c r="D465" s="99" t="s">
        <v>535</v>
      </c>
      <c r="E465" s="474">
        <v>1</v>
      </c>
      <c r="F465" s="99" t="s">
        <v>534</v>
      </c>
      <c r="H465" s="99">
        <f>'Справка 6'!D15</f>
        <v>20996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43465</v>
      </c>
      <c r="D466" s="99" t="s">
        <v>537</v>
      </c>
      <c r="E466" s="474">
        <v>1</v>
      </c>
      <c r="F466" s="99" t="s">
        <v>536</v>
      </c>
      <c r="H466" s="99">
        <f>'Справка 6'!D16</f>
        <v>20843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43465</v>
      </c>
      <c r="D467" s="99" t="s">
        <v>540</v>
      </c>
      <c r="E467" s="474">
        <v>1</v>
      </c>
      <c r="F467" s="99" t="s">
        <v>539</v>
      </c>
      <c r="H467" s="99">
        <f>'Справка 6'!D17</f>
        <v>9103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43465</v>
      </c>
      <c r="D468" s="99" t="s">
        <v>543</v>
      </c>
      <c r="E468" s="474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43465</v>
      </c>
      <c r="D469" s="99" t="s">
        <v>545</v>
      </c>
      <c r="E469" s="474">
        <v>1</v>
      </c>
      <c r="F469" s="99" t="s">
        <v>804</v>
      </c>
      <c r="H469" s="99">
        <f>'Справка 6'!D19</f>
        <v>507508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43465</v>
      </c>
      <c r="D470" s="99" t="s">
        <v>547</v>
      </c>
      <c r="E470" s="474">
        <v>1</v>
      </c>
      <c r="F470" s="99" t="s">
        <v>546</v>
      </c>
      <c r="H470" s="99">
        <f>'Справка 6'!D20</f>
        <v>9811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43465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43465</v>
      </c>
      <c r="D472" s="99" t="s">
        <v>553</v>
      </c>
      <c r="E472" s="474">
        <v>1</v>
      </c>
      <c r="F472" s="99" t="s">
        <v>552</v>
      </c>
      <c r="H472" s="99">
        <f>'Справка 6'!D23</f>
        <v>62664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43465</v>
      </c>
      <c r="D473" s="99" t="s">
        <v>555</v>
      </c>
      <c r="E473" s="474">
        <v>1</v>
      </c>
      <c r="F473" s="99" t="s">
        <v>554</v>
      </c>
      <c r="H473" s="99">
        <f>'Справка 6'!D24</f>
        <v>17811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43465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43465</v>
      </c>
      <c r="D475" s="99" t="s">
        <v>558</v>
      </c>
      <c r="E475" s="474">
        <v>1</v>
      </c>
      <c r="F475" s="99" t="s">
        <v>542</v>
      </c>
      <c r="H475" s="99">
        <f>'Справка 6'!D26</f>
        <v>5483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43465</v>
      </c>
      <c r="D476" s="99" t="s">
        <v>560</v>
      </c>
      <c r="E476" s="474">
        <v>1</v>
      </c>
      <c r="F476" s="99" t="s">
        <v>838</v>
      </c>
      <c r="H476" s="99">
        <f>'Справка 6'!D27</f>
        <v>85958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43465</v>
      </c>
      <c r="D477" s="99" t="s">
        <v>562</v>
      </c>
      <c r="E477" s="474">
        <v>1</v>
      </c>
      <c r="F477" s="99" t="s">
        <v>561</v>
      </c>
      <c r="H477" s="99">
        <f>'Справка 6'!D29</f>
        <v>27518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43465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43465</v>
      </c>
      <c r="D479" s="99" t="s">
        <v>564</v>
      </c>
      <c r="E479" s="474">
        <v>1</v>
      </c>
      <c r="F479" s="99" t="s">
        <v>110</v>
      </c>
      <c r="H479" s="99">
        <f>'Справка 6'!D31</f>
        <v>1414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43465</v>
      </c>
      <c r="D480" s="99" t="s">
        <v>565</v>
      </c>
      <c r="E480" s="474">
        <v>1</v>
      </c>
      <c r="F480" s="99" t="s">
        <v>113</v>
      </c>
      <c r="H480" s="99">
        <f>'Справка 6'!D32</f>
        <v>18122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43465</v>
      </c>
      <c r="D481" s="99" t="s">
        <v>566</v>
      </c>
      <c r="E481" s="474">
        <v>1</v>
      </c>
      <c r="F481" s="99" t="s">
        <v>115</v>
      </c>
      <c r="H481" s="99">
        <f>'Справка 6'!D33</f>
        <v>7982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43465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43465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43465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43465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43465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43465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43465</v>
      </c>
      <c r="D488" s="99" t="s">
        <v>578</v>
      </c>
      <c r="E488" s="474">
        <v>1</v>
      </c>
      <c r="F488" s="99" t="s">
        <v>803</v>
      </c>
      <c r="H488" s="99">
        <f>'Справка 6'!D40</f>
        <v>27518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43465</v>
      </c>
      <c r="D489" s="99" t="s">
        <v>581</v>
      </c>
      <c r="E489" s="474">
        <v>1</v>
      </c>
      <c r="F489" s="99" t="s">
        <v>580</v>
      </c>
      <c r="H489" s="99">
        <f>'Справка 6'!D41</f>
        <v>33284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43465</v>
      </c>
      <c r="D490" s="99" t="s">
        <v>583</v>
      </c>
      <c r="E490" s="474">
        <v>1</v>
      </c>
      <c r="F490" s="99" t="s">
        <v>582</v>
      </c>
      <c r="H490" s="99">
        <f>'Справка 6'!D42</f>
        <v>664079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43465</v>
      </c>
      <c r="D491" s="99" t="s">
        <v>523</v>
      </c>
      <c r="E491" s="474">
        <v>2</v>
      </c>
      <c r="F491" s="99" t="s">
        <v>522</v>
      </c>
      <c r="H491" s="99">
        <f>'Справка 6'!E11</f>
        <v>2504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43465</v>
      </c>
      <c r="D492" s="99" t="s">
        <v>526</v>
      </c>
      <c r="E492" s="474">
        <v>2</v>
      </c>
      <c r="F492" s="99" t="s">
        <v>525</v>
      </c>
      <c r="H492" s="99">
        <f>'Справка 6'!E12</f>
        <v>7230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43465</v>
      </c>
      <c r="D493" s="99" t="s">
        <v>529</v>
      </c>
      <c r="E493" s="474">
        <v>2</v>
      </c>
      <c r="F493" s="99" t="s">
        <v>528</v>
      </c>
      <c r="H493" s="99">
        <f>'Справка 6'!E13</f>
        <v>7086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43465</v>
      </c>
      <c r="D494" s="99" t="s">
        <v>532</v>
      </c>
      <c r="E494" s="474">
        <v>2</v>
      </c>
      <c r="F494" s="99" t="s">
        <v>531</v>
      </c>
      <c r="H494" s="99">
        <f>'Справка 6'!E14</f>
        <v>2010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43465</v>
      </c>
      <c r="D495" s="99" t="s">
        <v>535</v>
      </c>
      <c r="E495" s="474">
        <v>2</v>
      </c>
      <c r="F495" s="99" t="s">
        <v>534</v>
      </c>
      <c r="H495" s="99">
        <f>'Справка 6'!E15</f>
        <v>3235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43465</v>
      </c>
      <c r="D496" s="99" t="s">
        <v>537</v>
      </c>
      <c r="E496" s="474">
        <v>2</v>
      </c>
      <c r="F496" s="99" t="s">
        <v>536</v>
      </c>
      <c r="H496" s="99">
        <f>'Справка 6'!E16</f>
        <v>3852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43465</v>
      </c>
      <c r="D497" s="99" t="s">
        <v>540</v>
      </c>
      <c r="E497" s="474">
        <v>2</v>
      </c>
      <c r="F497" s="99" t="s">
        <v>539</v>
      </c>
      <c r="H497" s="99">
        <f>'Справка 6'!E17</f>
        <v>20765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43465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43465</v>
      </c>
      <c r="D499" s="99" t="s">
        <v>545</v>
      </c>
      <c r="E499" s="474">
        <v>2</v>
      </c>
      <c r="F499" s="99" t="s">
        <v>804</v>
      </c>
      <c r="H499" s="99">
        <f>'Справка 6'!E19</f>
        <v>46682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43465</v>
      </c>
      <c r="D500" s="99" t="s">
        <v>547</v>
      </c>
      <c r="E500" s="474">
        <v>2</v>
      </c>
      <c r="F500" s="99" t="s">
        <v>546</v>
      </c>
      <c r="H500" s="99">
        <f>'Справка 6'!E20</f>
        <v>143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43465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43465</v>
      </c>
      <c r="D502" s="99" t="s">
        <v>553</v>
      </c>
      <c r="E502" s="474">
        <v>2</v>
      </c>
      <c r="F502" s="99" t="s">
        <v>552</v>
      </c>
      <c r="H502" s="99">
        <f>'Справка 6'!E23</f>
        <v>6450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43465</v>
      </c>
      <c r="D503" s="99" t="s">
        <v>555</v>
      </c>
      <c r="E503" s="474">
        <v>2</v>
      </c>
      <c r="F503" s="99" t="s">
        <v>554</v>
      </c>
      <c r="H503" s="99">
        <f>'Справка 6'!E24</f>
        <v>850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43465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43465</v>
      </c>
      <c r="D505" s="99" t="s">
        <v>558</v>
      </c>
      <c r="E505" s="474">
        <v>2</v>
      </c>
      <c r="F505" s="99" t="s">
        <v>542</v>
      </c>
      <c r="H505" s="99">
        <f>'Справка 6'!E26</f>
        <v>882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43465</v>
      </c>
      <c r="D506" s="99" t="s">
        <v>560</v>
      </c>
      <c r="E506" s="474">
        <v>2</v>
      </c>
      <c r="F506" s="99" t="s">
        <v>838</v>
      </c>
      <c r="H506" s="99">
        <f>'Справка 6'!E27</f>
        <v>8182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43465</v>
      </c>
      <c r="D507" s="99" t="s">
        <v>562</v>
      </c>
      <c r="E507" s="474">
        <v>2</v>
      </c>
      <c r="F507" s="99" t="s">
        <v>561</v>
      </c>
      <c r="H507" s="99">
        <f>'Справка 6'!E29</f>
        <v>4606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43465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43465</v>
      </c>
      <c r="D509" s="99" t="s">
        <v>564</v>
      </c>
      <c r="E509" s="474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43465</v>
      </c>
      <c r="D510" s="99" t="s">
        <v>565</v>
      </c>
      <c r="E510" s="474">
        <v>2</v>
      </c>
      <c r="F510" s="99" t="s">
        <v>113</v>
      </c>
      <c r="H510" s="99">
        <f>'Справка 6'!E32</f>
        <v>2222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43465</v>
      </c>
      <c r="D511" s="99" t="s">
        <v>566</v>
      </c>
      <c r="E511" s="474">
        <v>2</v>
      </c>
      <c r="F511" s="99" t="s">
        <v>115</v>
      </c>
      <c r="H511" s="99">
        <f>'Справка 6'!E33</f>
        <v>2384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43465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43465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43465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43465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43465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43465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43465</v>
      </c>
      <c r="D518" s="99" t="s">
        <v>578</v>
      </c>
      <c r="E518" s="474">
        <v>2</v>
      </c>
      <c r="F518" s="99" t="s">
        <v>803</v>
      </c>
      <c r="H518" s="99">
        <f>'Справка 6'!E40</f>
        <v>4606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43465</v>
      </c>
      <c r="D519" s="99" t="s">
        <v>581</v>
      </c>
      <c r="E519" s="474">
        <v>2</v>
      </c>
      <c r="F519" s="99" t="s">
        <v>580</v>
      </c>
      <c r="H519" s="99">
        <f>'Справка 6'!E41</f>
        <v>369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43465</v>
      </c>
      <c r="D520" s="99" t="s">
        <v>583</v>
      </c>
      <c r="E520" s="474">
        <v>2</v>
      </c>
      <c r="F520" s="99" t="s">
        <v>582</v>
      </c>
      <c r="H520" s="99">
        <f>'Справка 6'!E42</f>
        <v>59982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43465</v>
      </c>
      <c r="D521" s="99" t="s">
        <v>523</v>
      </c>
      <c r="E521" s="474">
        <v>3</v>
      </c>
      <c r="F521" s="99" t="s">
        <v>522</v>
      </c>
      <c r="H521" s="99">
        <f>'Справка 6'!F11</f>
        <v>80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43465</v>
      </c>
      <c r="D522" s="99" t="s">
        <v>526</v>
      </c>
      <c r="E522" s="474">
        <v>3</v>
      </c>
      <c r="F522" s="99" t="s">
        <v>525</v>
      </c>
      <c r="H522" s="99">
        <f>'Справка 6'!F12</f>
        <v>21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43465</v>
      </c>
      <c r="D523" s="99" t="s">
        <v>529</v>
      </c>
      <c r="E523" s="474">
        <v>3</v>
      </c>
      <c r="F523" s="99" t="s">
        <v>528</v>
      </c>
      <c r="H523" s="99">
        <f>'Справка 6'!F13</f>
        <v>2102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43465</v>
      </c>
      <c r="D524" s="99" t="s">
        <v>532</v>
      </c>
      <c r="E524" s="474">
        <v>3</v>
      </c>
      <c r="F524" s="99" t="s">
        <v>531</v>
      </c>
      <c r="H524" s="99">
        <f>'Справка 6'!F14</f>
        <v>33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43465</v>
      </c>
      <c r="D525" s="99" t="s">
        <v>535</v>
      </c>
      <c r="E525" s="474">
        <v>3</v>
      </c>
      <c r="F525" s="99" t="s">
        <v>534</v>
      </c>
      <c r="H525" s="99">
        <f>'Справка 6'!F15</f>
        <v>3702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43465</v>
      </c>
      <c r="D526" s="99" t="s">
        <v>537</v>
      </c>
      <c r="E526" s="474">
        <v>3</v>
      </c>
      <c r="F526" s="99" t="s">
        <v>536</v>
      </c>
      <c r="H526" s="99">
        <f>'Справка 6'!F16</f>
        <v>496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43465</v>
      </c>
      <c r="D527" s="99" t="s">
        <v>540</v>
      </c>
      <c r="E527" s="474">
        <v>3</v>
      </c>
      <c r="F527" s="99" t="s">
        <v>539</v>
      </c>
      <c r="H527" s="99">
        <f>'Справка 6'!F17</f>
        <v>13317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43465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43465</v>
      </c>
      <c r="D529" s="99" t="s">
        <v>545</v>
      </c>
      <c r="E529" s="474">
        <v>3</v>
      </c>
      <c r="F529" s="99" t="s">
        <v>804</v>
      </c>
      <c r="H529" s="99">
        <f>'Справка 6'!F19</f>
        <v>19751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43465</v>
      </c>
      <c r="D530" s="99" t="s">
        <v>547</v>
      </c>
      <c r="E530" s="474">
        <v>3</v>
      </c>
      <c r="F530" s="99" t="s">
        <v>546</v>
      </c>
      <c r="H530" s="99">
        <f>'Справка 6'!F20</f>
        <v>140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43465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43465</v>
      </c>
      <c r="D532" s="99" t="s">
        <v>553</v>
      </c>
      <c r="E532" s="474">
        <v>3</v>
      </c>
      <c r="F532" s="99" t="s">
        <v>552</v>
      </c>
      <c r="H532" s="99">
        <f>'Справка 6'!F23</f>
        <v>776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43465</v>
      </c>
      <c r="D533" s="99" t="s">
        <v>555</v>
      </c>
      <c r="E533" s="474">
        <v>3</v>
      </c>
      <c r="F533" s="99" t="s">
        <v>554</v>
      </c>
      <c r="H533" s="99">
        <f>'Справка 6'!F24</f>
        <v>48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43465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43465</v>
      </c>
      <c r="D535" s="99" t="s">
        <v>558</v>
      </c>
      <c r="E535" s="474">
        <v>3</v>
      </c>
      <c r="F535" s="99" t="s">
        <v>542</v>
      </c>
      <c r="H535" s="99">
        <f>'Справка 6'!F26</f>
        <v>706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43465</v>
      </c>
      <c r="D536" s="99" t="s">
        <v>560</v>
      </c>
      <c r="E536" s="474">
        <v>3</v>
      </c>
      <c r="F536" s="99" t="s">
        <v>838</v>
      </c>
      <c r="H536" s="99">
        <f>'Справка 6'!F27</f>
        <v>1530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43465</v>
      </c>
      <c r="D537" s="99" t="s">
        <v>562</v>
      </c>
      <c r="E537" s="474">
        <v>3</v>
      </c>
      <c r="F537" s="99" t="s">
        <v>561</v>
      </c>
      <c r="H537" s="99">
        <f>'Справка 6'!F29</f>
        <v>3007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43465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43465</v>
      </c>
      <c r="D539" s="99" t="s">
        <v>564</v>
      </c>
      <c r="E539" s="474">
        <v>3</v>
      </c>
      <c r="F539" s="99" t="s">
        <v>110</v>
      </c>
      <c r="H539" s="99">
        <f>'Справка 6'!F31</f>
        <v>1370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43465</v>
      </c>
      <c r="D540" s="99" t="s">
        <v>565</v>
      </c>
      <c r="E540" s="474">
        <v>3</v>
      </c>
      <c r="F540" s="99" t="s">
        <v>113</v>
      </c>
      <c r="H540" s="99">
        <f>'Справка 6'!F32</f>
        <v>5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43465</v>
      </c>
      <c r="D541" s="99" t="s">
        <v>566</v>
      </c>
      <c r="E541" s="474">
        <v>3</v>
      </c>
      <c r="F541" s="99" t="s">
        <v>115</v>
      </c>
      <c r="H541" s="99">
        <f>'Справка 6'!F33</f>
        <v>1632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43465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43465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43465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43465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43465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43465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43465</v>
      </c>
      <c r="D548" s="99" t="s">
        <v>578</v>
      </c>
      <c r="E548" s="474">
        <v>3</v>
      </c>
      <c r="F548" s="99" t="s">
        <v>803</v>
      </c>
      <c r="H548" s="99">
        <f>'Справка 6'!F40</f>
        <v>3007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43465</v>
      </c>
      <c r="D549" s="99" t="s">
        <v>581</v>
      </c>
      <c r="E549" s="474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43465</v>
      </c>
      <c r="D550" s="99" t="s">
        <v>583</v>
      </c>
      <c r="E550" s="474">
        <v>3</v>
      </c>
      <c r="F550" s="99" t="s">
        <v>582</v>
      </c>
      <c r="H550" s="99">
        <f>'Справка 6'!F42</f>
        <v>24428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43465</v>
      </c>
      <c r="D551" s="99" t="s">
        <v>523</v>
      </c>
      <c r="E551" s="474">
        <v>4</v>
      </c>
      <c r="F551" s="99" t="s">
        <v>522</v>
      </c>
      <c r="H551" s="99">
        <f>'Справка 6'!G11</f>
        <v>54392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43465</v>
      </c>
      <c r="D552" s="99" t="s">
        <v>526</v>
      </c>
      <c r="E552" s="474">
        <v>4</v>
      </c>
      <c r="F552" s="99" t="s">
        <v>525</v>
      </c>
      <c r="H552" s="99">
        <f>'Справка 6'!G12</f>
        <v>180843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43465</v>
      </c>
      <c r="D553" s="99" t="s">
        <v>529</v>
      </c>
      <c r="E553" s="474">
        <v>4</v>
      </c>
      <c r="F553" s="99" t="s">
        <v>528</v>
      </c>
      <c r="H553" s="99">
        <f>'Справка 6'!G13</f>
        <v>219022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43465</v>
      </c>
      <c r="D554" s="99" t="s">
        <v>532</v>
      </c>
      <c r="E554" s="474">
        <v>4</v>
      </c>
      <c r="F554" s="99" t="s">
        <v>531</v>
      </c>
      <c r="H554" s="99">
        <f>'Справка 6'!G14</f>
        <v>18903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43465</v>
      </c>
      <c r="D555" s="99" t="s">
        <v>535</v>
      </c>
      <c r="E555" s="474">
        <v>4</v>
      </c>
      <c r="F555" s="99" t="s">
        <v>534</v>
      </c>
      <c r="H555" s="99">
        <f>'Справка 6'!G15</f>
        <v>20529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43465</v>
      </c>
      <c r="D556" s="99" t="s">
        <v>537</v>
      </c>
      <c r="E556" s="474">
        <v>4</v>
      </c>
      <c r="F556" s="99" t="s">
        <v>536</v>
      </c>
      <c r="H556" s="99">
        <f>'Справка 6'!G16</f>
        <v>24199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43465</v>
      </c>
      <c r="D557" s="99" t="s">
        <v>540</v>
      </c>
      <c r="E557" s="474">
        <v>4</v>
      </c>
      <c r="F557" s="99" t="s">
        <v>539</v>
      </c>
      <c r="H557" s="99">
        <f>'Справка 6'!G17</f>
        <v>16551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43465</v>
      </c>
      <c r="D558" s="99" t="s">
        <v>543</v>
      </c>
      <c r="E558" s="474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43465</v>
      </c>
      <c r="D559" s="99" t="s">
        <v>545</v>
      </c>
      <c r="E559" s="474">
        <v>4</v>
      </c>
      <c r="F559" s="99" t="s">
        <v>804</v>
      </c>
      <c r="H559" s="99">
        <f>'Справка 6'!G19</f>
        <v>534439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43465</v>
      </c>
      <c r="D560" s="99" t="s">
        <v>547</v>
      </c>
      <c r="E560" s="474">
        <v>4</v>
      </c>
      <c r="F560" s="99" t="s">
        <v>546</v>
      </c>
      <c r="H560" s="99">
        <f>'Справка 6'!G20</f>
        <v>9814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43465</v>
      </c>
      <c r="D561" s="99" t="s">
        <v>549</v>
      </c>
      <c r="E561" s="474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43465</v>
      </c>
      <c r="D562" s="99" t="s">
        <v>553</v>
      </c>
      <c r="E562" s="474">
        <v>4</v>
      </c>
      <c r="F562" s="99" t="s">
        <v>552</v>
      </c>
      <c r="H562" s="99">
        <f>'Справка 6'!G23</f>
        <v>68338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43465</v>
      </c>
      <c r="D563" s="99" t="s">
        <v>555</v>
      </c>
      <c r="E563" s="474">
        <v>4</v>
      </c>
      <c r="F563" s="99" t="s">
        <v>554</v>
      </c>
      <c r="H563" s="99">
        <f>'Справка 6'!G24</f>
        <v>18613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43465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43465</v>
      </c>
      <c r="D565" s="99" t="s">
        <v>558</v>
      </c>
      <c r="E565" s="474">
        <v>4</v>
      </c>
      <c r="F565" s="99" t="s">
        <v>542</v>
      </c>
      <c r="H565" s="99">
        <f>'Справка 6'!G26</f>
        <v>5659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43465</v>
      </c>
      <c r="D566" s="99" t="s">
        <v>560</v>
      </c>
      <c r="E566" s="474">
        <v>4</v>
      </c>
      <c r="F566" s="99" t="s">
        <v>838</v>
      </c>
      <c r="H566" s="99">
        <f>'Справка 6'!G27</f>
        <v>92610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43465</v>
      </c>
      <c r="D567" s="99" t="s">
        <v>562</v>
      </c>
      <c r="E567" s="474">
        <v>4</v>
      </c>
      <c r="F567" s="99" t="s">
        <v>561</v>
      </c>
      <c r="H567" s="99">
        <f>'Справка 6'!G29</f>
        <v>29117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43465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43465</v>
      </c>
      <c r="D569" s="99" t="s">
        <v>564</v>
      </c>
      <c r="E569" s="474">
        <v>4</v>
      </c>
      <c r="F569" s="99" t="s">
        <v>110</v>
      </c>
      <c r="H569" s="99">
        <f>'Справка 6'!G31</f>
        <v>44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43465</v>
      </c>
      <c r="D570" s="99" t="s">
        <v>565</v>
      </c>
      <c r="E570" s="474">
        <v>4</v>
      </c>
      <c r="F570" s="99" t="s">
        <v>113</v>
      </c>
      <c r="H570" s="99">
        <f>'Справка 6'!G32</f>
        <v>20339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43465</v>
      </c>
      <c r="D571" s="99" t="s">
        <v>566</v>
      </c>
      <c r="E571" s="474">
        <v>4</v>
      </c>
      <c r="F571" s="99" t="s">
        <v>115</v>
      </c>
      <c r="H571" s="99">
        <f>'Справка 6'!G33</f>
        <v>8734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43465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43465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43465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43465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43465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43465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43465</v>
      </c>
      <c r="D578" s="99" t="s">
        <v>578</v>
      </c>
      <c r="E578" s="474">
        <v>4</v>
      </c>
      <c r="F578" s="99" t="s">
        <v>803</v>
      </c>
      <c r="H578" s="99">
        <f>'Справка 6'!G40</f>
        <v>29117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43465</v>
      </c>
      <c r="D579" s="99" t="s">
        <v>581</v>
      </c>
      <c r="E579" s="474">
        <v>4</v>
      </c>
      <c r="F579" s="99" t="s">
        <v>580</v>
      </c>
      <c r="H579" s="99">
        <f>'Справка 6'!G41</f>
        <v>33653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43465</v>
      </c>
      <c r="D580" s="99" t="s">
        <v>583</v>
      </c>
      <c r="E580" s="474">
        <v>4</v>
      </c>
      <c r="F580" s="99" t="s">
        <v>582</v>
      </c>
      <c r="H580" s="99">
        <f>'Справка 6'!G42</f>
        <v>699633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43465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43465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43465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43465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43465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43465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43465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43465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43465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43465</v>
      </c>
      <c r="D590" s="99" t="s">
        <v>547</v>
      </c>
      <c r="E590" s="474">
        <v>5</v>
      </c>
      <c r="F590" s="99" t="s">
        <v>546</v>
      </c>
      <c r="H590" s="99">
        <f>'Справка 6'!H20</f>
        <v>613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43465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43465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43465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43465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43465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43465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43465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43465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43465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43465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43465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43465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43465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43465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43465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43465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43465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43465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43465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43465</v>
      </c>
      <c r="D610" s="99" t="s">
        <v>583</v>
      </c>
      <c r="E610" s="474">
        <v>5</v>
      </c>
      <c r="F610" s="99" t="s">
        <v>582</v>
      </c>
      <c r="H610" s="99">
        <f>'Справка 6'!H42</f>
        <v>613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43465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43465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43465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43465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43465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43465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43465</v>
      </c>
      <c r="D617" s="99" t="s">
        <v>540</v>
      </c>
      <c r="E617" s="474">
        <v>6</v>
      </c>
      <c r="F617" s="99" t="s">
        <v>539</v>
      </c>
      <c r="H617" s="99">
        <f>'Справка 6'!I17</f>
        <v>186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43465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43465</v>
      </c>
      <c r="D619" s="99" t="s">
        <v>545</v>
      </c>
      <c r="E619" s="474">
        <v>6</v>
      </c>
      <c r="F619" s="99" t="s">
        <v>804</v>
      </c>
      <c r="H619" s="99">
        <f>'Справка 6'!I19</f>
        <v>186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43465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43465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43465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43465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43465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43465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43465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43465</v>
      </c>
      <c r="D627" s="99" t="s">
        <v>562</v>
      </c>
      <c r="E627" s="474">
        <v>6</v>
      </c>
      <c r="F627" s="99" t="s">
        <v>561</v>
      </c>
      <c r="H627" s="99">
        <f>'Справка 6'!I29</f>
        <v>136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43465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43465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43465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43465</v>
      </c>
      <c r="D631" s="99" t="s">
        <v>566</v>
      </c>
      <c r="E631" s="474">
        <v>6</v>
      </c>
      <c r="F631" s="99" t="s">
        <v>115</v>
      </c>
      <c r="H631" s="99">
        <f>'Справка 6'!I33</f>
        <v>136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43465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43465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43465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43465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43465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43465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43465</v>
      </c>
      <c r="D638" s="99" t="s">
        <v>578</v>
      </c>
      <c r="E638" s="474">
        <v>6</v>
      </c>
      <c r="F638" s="99" t="s">
        <v>803</v>
      </c>
      <c r="H638" s="99">
        <f>'Справка 6'!I40</f>
        <v>136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43465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43465</v>
      </c>
      <c r="D640" s="99" t="s">
        <v>583</v>
      </c>
      <c r="E640" s="474">
        <v>6</v>
      </c>
      <c r="F640" s="99" t="s">
        <v>582</v>
      </c>
      <c r="H640" s="99">
        <f>'Справка 6'!I42</f>
        <v>322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43465</v>
      </c>
      <c r="D641" s="99" t="s">
        <v>523</v>
      </c>
      <c r="E641" s="474">
        <v>7</v>
      </c>
      <c r="F641" s="99" t="s">
        <v>522</v>
      </c>
      <c r="H641" s="99">
        <f>'Справка 6'!J11</f>
        <v>54392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43465</v>
      </c>
      <c r="D642" s="99" t="s">
        <v>526</v>
      </c>
      <c r="E642" s="474">
        <v>7</v>
      </c>
      <c r="F642" s="99" t="s">
        <v>525</v>
      </c>
      <c r="H642" s="99">
        <f>'Справка 6'!J12</f>
        <v>180843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43465</v>
      </c>
      <c r="D643" s="99" t="s">
        <v>529</v>
      </c>
      <c r="E643" s="474">
        <v>7</v>
      </c>
      <c r="F643" s="99" t="s">
        <v>528</v>
      </c>
      <c r="H643" s="99">
        <f>'Справка 6'!J13</f>
        <v>219022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43465</v>
      </c>
      <c r="D644" s="99" t="s">
        <v>532</v>
      </c>
      <c r="E644" s="474">
        <v>7</v>
      </c>
      <c r="F644" s="99" t="s">
        <v>531</v>
      </c>
      <c r="H644" s="99">
        <f>'Справка 6'!J14</f>
        <v>18903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43465</v>
      </c>
      <c r="D645" s="99" t="s">
        <v>535</v>
      </c>
      <c r="E645" s="474">
        <v>7</v>
      </c>
      <c r="F645" s="99" t="s">
        <v>534</v>
      </c>
      <c r="H645" s="99">
        <f>'Справка 6'!J15</f>
        <v>20529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43465</v>
      </c>
      <c r="D646" s="99" t="s">
        <v>537</v>
      </c>
      <c r="E646" s="474">
        <v>7</v>
      </c>
      <c r="F646" s="99" t="s">
        <v>536</v>
      </c>
      <c r="H646" s="99">
        <f>'Справка 6'!J16</f>
        <v>24199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43465</v>
      </c>
      <c r="D647" s="99" t="s">
        <v>540</v>
      </c>
      <c r="E647" s="474">
        <v>7</v>
      </c>
      <c r="F647" s="99" t="s">
        <v>539</v>
      </c>
      <c r="H647" s="99">
        <f>'Справка 6'!J17</f>
        <v>16365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43465</v>
      </c>
      <c r="D648" s="99" t="s">
        <v>543</v>
      </c>
      <c r="E648" s="474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43465</v>
      </c>
      <c r="D649" s="99" t="s">
        <v>545</v>
      </c>
      <c r="E649" s="474">
        <v>7</v>
      </c>
      <c r="F649" s="99" t="s">
        <v>804</v>
      </c>
      <c r="H649" s="99">
        <f>'Справка 6'!J19</f>
        <v>534253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43465</v>
      </c>
      <c r="D650" s="99" t="s">
        <v>547</v>
      </c>
      <c r="E650" s="474">
        <v>7</v>
      </c>
      <c r="F650" s="99" t="s">
        <v>546</v>
      </c>
      <c r="H650" s="99">
        <f>'Справка 6'!J20</f>
        <v>10427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43465</v>
      </c>
      <c r="D651" s="99" t="s">
        <v>549</v>
      </c>
      <c r="E651" s="474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43465</v>
      </c>
      <c r="D652" s="99" t="s">
        <v>553</v>
      </c>
      <c r="E652" s="474">
        <v>7</v>
      </c>
      <c r="F652" s="99" t="s">
        <v>552</v>
      </c>
      <c r="H652" s="99">
        <f>'Справка 6'!J23</f>
        <v>68338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43465</v>
      </c>
      <c r="D653" s="99" t="s">
        <v>555</v>
      </c>
      <c r="E653" s="474">
        <v>7</v>
      </c>
      <c r="F653" s="99" t="s">
        <v>554</v>
      </c>
      <c r="H653" s="99">
        <f>'Справка 6'!J24</f>
        <v>18613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43465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43465</v>
      </c>
      <c r="D655" s="99" t="s">
        <v>558</v>
      </c>
      <c r="E655" s="474">
        <v>7</v>
      </c>
      <c r="F655" s="99" t="s">
        <v>542</v>
      </c>
      <c r="H655" s="99">
        <f>'Справка 6'!J26</f>
        <v>5659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43465</v>
      </c>
      <c r="D656" s="99" t="s">
        <v>560</v>
      </c>
      <c r="E656" s="474">
        <v>7</v>
      </c>
      <c r="F656" s="99" t="s">
        <v>838</v>
      </c>
      <c r="H656" s="99">
        <f>'Справка 6'!J27</f>
        <v>92610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43465</v>
      </c>
      <c r="D657" s="99" t="s">
        <v>562</v>
      </c>
      <c r="E657" s="474">
        <v>7</v>
      </c>
      <c r="F657" s="99" t="s">
        <v>561</v>
      </c>
      <c r="H657" s="99">
        <f>'Справка 6'!J29</f>
        <v>28981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43465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43465</v>
      </c>
      <c r="D659" s="99" t="s">
        <v>564</v>
      </c>
      <c r="E659" s="474">
        <v>7</v>
      </c>
      <c r="F659" s="99" t="s">
        <v>110</v>
      </c>
      <c r="H659" s="99">
        <f>'Справка 6'!J31</f>
        <v>44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43465</v>
      </c>
      <c r="D660" s="99" t="s">
        <v>565</v>
      </c>
      <c r="E660" s="474">
        <v>7</v>
      </c>
      <c r="F660" s="99" t="s">
        <v>113</v>
      </c>
      <c r="H660" s="99">
        <f>'Справка 6'!J32</f>
        <v>20339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43465</v>
      </c>
      <c r="D661" s="99" t="s">
        <v>566</v>
      </c>
      <c r="E661" s="474">
        <v>7</v>
      </c>
      <c r="F661" s="99" t="s">
        <v>115</v>
      </c>
      <c r="H661" s="99">
        <f>'Справка 6'!J33</f>
        <v>8598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43465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43465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43465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43465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43465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43465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43465</v>
      </c>
      <c r="D668" s="99" t="s">
        <v>578</v>
      </c>
      <c r="E668" s="474">
        <v>7</v>
      </c>
      <c r="F668" s="99" t="s">
        <v>803</v>
      </c>
      <c r="H668" s="99">
        <f>'Справка 6'!J40</f>
        <v>28981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43465</v>
      </c>
      <c r="D669" s="99" t="s">
        <v>581</v>
      </c>
      <c r="E669" s="474">
        <v>7</v>
      </c>
      <c r="F669" s="99" t="s">
        <v>580</v>
      </c>
      <c r="H669" s="99">
        <f>'Справка 6'!J41</f>
        <v>33653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43465</v>
      </c>
      <c r="D670" s="99" t="s">
        <v>583</v>
      </c>
      <c r="E670" s="474">
        <v>7</v>
      </c>
      <c r="F670" s="99" t="s">
        <v>582</v>
      </c>
      <c r="H670" s="99">
        <f>'Справка 6'!J42</f>
        <v>699924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43465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43465</v>
      </c>
      <c r="D672" s="99" t="s">
        <v>526</v>
      </c>
      <c r="E672" s="474">
        <v>8</v>
      </c>
      <c r="F672" s="99" t="s">
        <v>525</v>
      </c>
      <c r="H672" s="99">
        <f>'Справка 6'!K12</f>
        <v>44504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43465</v>
      </c>
      <c r="D673" s="99" t="s">
        <v>529</v>
      </c>
      <c r="E673" s="474">
        <v>8</v>
      </c>
      <c r="F673" s="99" t="s">
        <v>528</v>
      </c>
      <c r="H673" s="99">
        <f>'Справка 6'!K13</f>
        <v>113170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43465</v>
      </c>
      <c r="D674" s="99" t="s">
        <v>532</v>
      </c>
      <c r="E674" s="474">
        <v>8</v>
      </c>
      <c r="F674" s="99" t="s">
        <v>531</v>
      </c>
      <c r="H674" s="99">
        <f>'Справка 6'!K14</f>
        <v>4756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43465</v>
      </c>
      <c r="D675" s="99" t="s">
        <v>535</v>
      </c>
      <c r="E675" s="474">
        <v>8</v>
      </c>
      <c r="F675" s="99" t="s">
        <v>534</v>
      </c>
      <c r="H675" s="99">
        <f>'Справка 6'!K15</f>
        <v>13364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43465</v>
      </c>
      <c r="D676" s="99" t="s">
        <v>537</v>
      </c>
      <c r="E676" s="474">
        <v>8</v>
      </c>
      <c r="F676" s="99" t="s">
        <v>536</v>
      </c>
      <c r="H676" s="99">
        <f>'Справка 6'!K16</f>
        <v>14094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43465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43465</v>
      </c>
      <c r="D678" s="99" t="s">
        <v>543</v>
      </c>
      <c r="E678" s="474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43465</v>
      </c>
      <c r="D679" s="99" t="s">
        <v>545</v>
      </c>
      <c r="E679" s="474">
        <v>8</v>
      </c>
      <c r="F679" s="99" t="s">
        <v>804</v>
      </c>
      <c r="H679" s="99">
        <f>'Справка 6'!K19</f>
        <v>189888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43465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43465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43465</v>
      </c>
      <c r="D682" s="99" t="s">
        <v>553</v>
      </c>
      <c r="E682" s="474">
        <v>8</v>
      </c>
      <c r="F682" s="99" t="s">
        <v>552</v>
      </c>
      <c r="H682" s="99">
        <f>'Справка 6'!K23</f>
        <v>12289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43465</v>
      </c>
      <c r="D683" s="99" t="s">
        <v>555</v>
      </c>
      <c r="E683" s="474">
        <v>8</v>
      </c>
      <c r="F683" s="99" t="s">
        <v>554</v>
      </c>
      <c r="H683" s="99">
        <f>'Справка 6'!K24</f>
        <v>7938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43465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43465</v>
      </c>
      <c r="D685" s="99" t="s">
        <v>558</v>
      </c>
      <c r="E685" s="474">
        <v>8</v>
      </c>
      <c r="F685" s="99" t="s">
        <v>542</v>
      </c>
      <c r="H685" s="99">
        <f>'Справка 6'!K26</f>
        <v>2282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43465</v>
      </c>
      <c r="D686" s="99" t="s">
        <v>560</v>
      </c>
      <c r="E686" s="474">
        <v>8</v>
      </c>
      <c r="F686" s="99" t="s">
        <v>838</v>
      </c>
      <c r="H686" s="99">
        <f>'Справка 6'!K27</f>
        <v>22509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43465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43465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43465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43465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43465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43465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43465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43465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43465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43465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43465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43465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43465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43465</v>
      </c>
      <c r="D700" s="99" t="s">
        <v>583</v>
      </c>
      <c r="E700" s="474">
        <v>8</v>
      </c>
      <c r="F700" s="99" t="s">
        <v>582</v>
      </c>
      <c r="H700" s="99">
        <f>'Справка 6'!K42</f>
        <v>222534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43465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43465</v>
      </c>
      <c r="D702" s="99" t="s">
        <v>526</v>
      </c>
      <c r="E702" s="474">
        <v>9</v>
      </c>
      <c r="F702" s="99" t="s">
        <v>525</v>
      </c>
      <c r="H702" s="99">
        <f>'Справка 6'!L12</f>
        <v>7211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43465</v>
      </c>
      <c r="D703" s="99" t="s">
        <v>529</v>
      </c>
      <c r="E703" s="474">
        <v>9</v>
      </c>
      <c r="F703" s="99" t="s">
        <v>528</v>
      </c>
      <c r="H703" s="99">
        <f>'Справка 6'!L13</f>
        <v>12857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43465</v>
      </c>
      <c r="D704" s="99" t="s">
        <v>532</v>
      </c>
      <c r="E704" s="474">
        <v>9</v>
      </c>
      <c r="F704" s="99" t="s">
        <v>531</v>
      </c>
      <c r="H704" s="99">
        <f>'Справка 6'!L14</f>
        <v>1621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43465</v>
      </c>
      <c r="D705" s="99" t="s">
        <v>535</v>
      </c>
      <c r="E705" s="474">
        <v>9</v>
      </c>
      <c r="F705" s="99" t="s">
        <v>534</v>
      </c>
      <c r="H705" s="99">
        <f>'Справка 6'!L15</f>
        <v>2719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43465</v>
      </c>
      <c r="D706" s="99" t="s">
        <v>537</v>
      </c>
      <c r="E706" s="474">
        <v>9</v>
      </c>
      <c r="F706" s="99" t="s">
        <v>536</v>
      </c>
      <c r="H706" s="99">
        <f>'Справка 6'!L16</f>
        <v>1098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43465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43465</v>
      </c>
      <c r="D708" s="99" t="s">
        <v>543</v>
      </c>
      <c r="E708" s="474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43465</v>
      </c>
      <c r="D709" s="99" t="s">
        <v>545</v>
      </c>
      <c r="E709" s="474">
        <v>9</v>
      </c>
      <c r="F709" s="99" t="s">
        <v>804</v>
      </c>
      <c r="H709" s="99">
        <f>'Справка 6'!L19</f>
        <v>25506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43465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43465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43465</v>
      </c>
      <c r="D712" s="99" t="s">
        <v>553</v>
      </c>
      <c r="E712" s="474">
        <v>9</v>
      </c>
      <c r="F712" s="99" t="s">
        <v>552</v>
      </c>
      <c r="H712" s="99">
        <f>'Справка 6'!L23</f>
        <v>6322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43465</v>
      </c>
      <c r="D713" s="99" t="s">
        <v>555</v>
      </c>
      <c r="E713" s="474">
        <v>9</v>
      </c>
      <c r="F713" s="99" t="s">
        <v>554</v>
      </c>
      <c r="H713" s="99">
        <f>'Справка 6'!L24</f>
        <v>1617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43465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43465</v>
      </c>
      <c r="D715" s="99" t="s">
        <v>558</v>
      </c>
      <c r="E715" s="474">
        <v>9</v>
      </c>
      <c r="F715" s="99" t="s">
        <v>542</v>
      </c>
      <c r="H715" s="99">
        <f>'Справка 6'!L26</f>
        <v>39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43465</v>
      </c>
      <c r="D716" s="99" t="s">
        <v>560</v>
      </c>
      <c r="E716" s="474">
        <v>9</v>
      </c>
      <c r="F716" s="99" t="s">
        <v>838</v>
      </c>
      <c r="H716" s="99">
        <f>'Справка 6'!L27</f>
        <v>7978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43465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43465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43465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43465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43465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43465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43465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43465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43465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43465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43465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43465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43465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43465</v>
      </c>
      <c r="D730" s="99" t="s">
        <v>583</v>
      </c>
      <c r="E730" s="474">
        <v>9</v>
      </c>
      <c r="F730" s="99" t="s">
        <v>582</v>
      </c>
      <c r="H730" s="99">
        <f>'Справка 6'!L42</f>
        <v>33484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43465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43465</v>
      </c>
      <c r="D732" s="99" t="s">
        <v>526</v>
      </c>
      <c r="E732" s="474">
        <v>10</v>
      </c>
      <c r="F732" s="99" t="s">
        <v>525</v>
      </c>
      <c r="H732" s="99">
        <f>'Справка 6'!M12</f>
        <v>57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43465</v>
      </c>
      <c r="D733" s="99" t="s">
        <v>529</v>
      </c>
      <c r="E733" s="474">
        <v>10</v>
      </c>
      <c r="F733" s="99" t="s">
        <v>528</v>
      </c>
      <c r="H733" s="99">
        <f>'Справка 6'!M13</f>
        <v>1925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43465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43465</v>
      </c>
      <c r="D735" s="99" t="s">
        <v>535</v>
      </c>
      <c r="E735" s="474">
        <v>10</v>
      </c>
      <c r="F735" s="99" t="s">
        <v>534</v>
      </c>
      <c r="H735" s="99">
        <f>'Справка 6'!M15</f>
        <v>3317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43465</v>
      </c>
      <c r="D736" s="99" t="s">
        <v>537</v>
      </c>
      <c r="E736" s="474">
        <v>10</v>
      </c>
      <c r="F736" s="99" t="s">
        <v>536</v>
      </c>
      <c r="H736" s="99">
        <f>'Справка 6'!M16</f>
        <v>367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43465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43465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43465</v>
      </c>
      <c r="D739" s="99" t="s">
        <v>545</v>
      </c>
      <c r="E739" s="474">
        <v>10</v>
      </c>
      <c r="F739" s="99" t="s">
        <v>804</v>
      </c>
      <c r="H739" s="99">
        <f>'Справка 6'!M19</f>
        <v>5666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43465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43465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43465</v>
      </c>
      <c r="D742" s="99" t="s">
        <v>553</v>
      </c>
      <c r="E742" s="474">
        <v>10</v>
      </c>
      <c r="F742" s="99" t="s">
        <v>552</v>
      </c>
      <c r="H742" s="99">
        <f>'Справка 6'!M23</f>
        <v>41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43465</v>
      </c>
      <c r="D743" s="99" t="s">
        <v>555</v>
      </c>
      <c r="E743" s="474">
        <v>10</v>
      </c>
      <c r="F743" s="99" t="s">
        <v>554</v>
      </c>
      <c r="H743" s="99">
        <f>'Справка 6'!M24</f>
        <v>31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43465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43465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43465</v>
      </c>
      <c r="D746" s="99" t="s">
        <v>560</v>
      </c>
      <c r="E746" s="474">
        <v>10</v>
      </c>
      <c r="F746" s="99" t="s">
        <v>838</v>
      </c>
      <c r="H746" s="99">
        <f>'Справка 6'!M27</f>
        <v>72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43465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43465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43465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43465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43465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43465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43465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43465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43465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43465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43465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43465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43465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43465</v>
      </c>
      <c r="D760" s="99" t="s">
        <v>583</v>
      </c>
      <c r="E760" s="474">
        <v>10</v>
      </c>
      <c r="F760" s="99" t="s">
        <v>582</v>
      </c>
      <c r="H760" s="99">
        <f>'Справка 6'!M42</f>
        <v>5738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43465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43465</v>
      </c>
      <c r="D762" s="99" t="s">
        <v>526</v>
      </c>
      <c r="E762" s="474">
        <v>11</v>
      </c>
      <c r="F762" s="99" t="s">
        <v>525</v>
      </c>
      <c r="H762" s="99">
        <f>'Справка 6'!N12</f>
        <v>51658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43465</v>
      </c>
      <c r="D763" s="99" t="s">
        <v>529</v>
      </c>
      <c r="E763" s="474">
        <v>11</v>
      </c>
      <c r="F763" s="99" t="s">
        <v>528</v>
      </c>
      <c r="H763" s="99">
        <f>'Справка 6'!N13</f>
        <v>124102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43465</v>
      </c>
      <c r="D764" s="99" t="s">
        <v>532</v>
      </c>
      <c r="E764" s="474">
        <v>11</v>
      </c>
      <c r="F764" s="99" t="s">
        <v>531</v>
      </c>
      <c r="H764" s="99">
        <f>'Справка 6'!N14</f>
        <v>6377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43465</v>
      </c>
      <c r="D765" s="99" t="s">
        <v>535</v>
      </c>
      <c r="E765" s="474">
        <v>11</v>
      </c>
      <c r="F765" s="99" t="s">
        <v>534</v>
      </c>
      <c r="H765" s="99">
        <f>'Справка 6'!N15</f>
        <v>12766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43465</v>
      </c>
      <c r="D766" s="99" t="s">
        <v>537</v>
      </c>
      <c r="E766" s="474">
        <v>11</v>
      </c>
      <c r="F766" s="99" t="s">
        <v>536</v>
      </c>
      <c r="H766" s="99">
        <f>'Справка 6'!N16</f>
        <v>14825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43465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43465</v>
      </c>
      <c r="D768" s="99" t="s">
        <v>543</v>
      </c>
      <c r="E768" s="474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43465</v>
      </c>
      <c r="D769" s="99" t="s">
        <v>545</v>
      </c>
      <c r="E769" s="474">
        <v>11</v>
      </c>
      <c r="F769" s="99" t="s">
        <v>804</v>
      </c>
      <c r="H769" s="99">
        <f>'Справка 6'!N19</f>
        <v>209728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43465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43465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43465</v>
      </c>
      <c r="D772" s="99" t="s">
        <v>553</v>
      </c>
      <c r="E772" s="474">
        <v>11</v>
      </c>
      <c r="F772" s="99" t="s">
        <v>552</v>
      </c>
      <c r="H772" s="99">
        <f>'Справка 6'!N23</f>
        <v>18570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43465</v>
      </c>
      <c r="D773" s="99" t="s">
        <v>555</v>
      </c>
      <c r="E773" s="474">
        <v>11</v>
      </c>
      <c r="F773" s="99" t="s">
        <v>554</v>
      </c>
      <c r="H773" s="99">
        <f>'Справка 6'!N24</f>
        <v>9524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43465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43465</v>
      </c>
      <c r="D775" s="99" t="s">
        <v>558</v>
      </c>
      <c r="E775" s="474">
        <v>11</v>
      </c>
      <c r="F775" s="99" t="s">
        <v>542</v>
      </c>
      <c r="H775" s="99">
        <f>'Справка 6'!N26</f>
        <v>2321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43465</v>
      </c>
      <c r="D776" s="99" t="s">
        <v>560</v>
      </c>
      <c r="E776" s="474">
        <v>11</v>
      </c>
      <c r="F776" s="99" t="s">
        <v>838</v>
      </c>
      <c r="H776" s="99">
        <f>'Справка 6'!N27</f>
        <v>30415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43465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43465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43465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43465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43465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43465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43465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43465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43465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43465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43465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43465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43465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43465</v>
      </c>
      <c r="D790" s="99" t="s">
        <v>583</v>
      </c>
      <c r="E790" s="474">
        <v>11</v>
      </c>
      <c r="F790" s="99" t="s">
        <v>582</v>
      </c>
      <c r="H790" s="99">
        <f>'Справка 6'!N42</f>
        <v>250280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43465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43465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43465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43465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43465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43465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43465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43465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43465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43465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43465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43465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43465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43465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43465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43465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43465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43465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43465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43465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43465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43465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43465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43465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43465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43465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43465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43465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43465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43465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43465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43465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43465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43465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43465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43465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43465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43465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43465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43465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43465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43465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43465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43465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43465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43465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43465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43465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43465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43465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43465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43465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43465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43465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43465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43465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43465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43465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43465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43465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43465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43465</v>
      </c>
      <c r="D852" s="99" t="s">
        <v>526</v>
      </c>
      <c r="E852" s="474">
        <v>14</v>
      </c>
      <c r="F852" s="99" t="s">
        <v>525</v>
      </c>
      <c r="H852" s="99">
        <f>'Справка 6'!Q12</f>
        <v>51658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43465</v>
      </c>
      <c r="D853" s="99" t="s">
        <v>529</v>
      </c>
      <c r="E853" s="474">
        <v>14</v>
      </c>
      <c r="F853" s="99" t="s">
        <v>528</v>
      </c>
      <c r="H853" s="99">
        <f>'Справка 6'!Q13</f>
        <v>124102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43465</v>
      </c>
      <c r="D854" s="99" t="s">
        <v>532</v>
      </c>
      <c r="E854" s="474">
        <v>14</v>
      </c>
      <c r="F854" s="99" t="s">
        <v>531</v>
      </c>
      <c r="H854" s="99">
        <f>'Справка 6'!Q14</f>
        <v>6377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43465</v>
      </c>
      <c r="D855" s="99" t="s">
        <v>535</v>
      </c>
      <c r="E855" s="474">
        <v>14</v>
      </c>
      <c r="F855" s="99" t="s">
        <v>534</v>
      </c>
      <c r="H855" s="99">
        <f>'Справка 6'!Q15</f>
        <v>12766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43465</v>
      </c>
      <c r="D856" s="99" t="s">
        <v>537</v>
      </c>
      <c r="E856" s="474">
        <v>14</v>
      </c>
      <c r="F856" s="99" t="s">
        <v>536</v>
      </c>
      <c r="H856" s="99">
        <f>'Справка 6'!Q16</f>
        <v>14825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43465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43465</v>
      </c>
      <c r="D858" s="99" t="s">
        <v>543</v>
      </c>
      <c r="E858" s="474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43465</v>
      </c>
      <c r="D859" s="99" t="s">
        <v>545</v>
      </c>
      <c r="E859" s="474">
        <v>14</v>
      </c>
      <c r="F859" s="99" t="s">
        <v>804</v>
      </c>
      <c r="H859" s="99">
        <f>'Справка 6'!Q19</f>
        <v>209728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43465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43465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43465</v>
      </c>
      <c r="D862" s="99" t="s">
        <v>553</v>
      </c>
      <c r="E862" s="474">
        <v>14</v>
      </c>
      <c r="F862" s="99" t="s">
        <v>552</v>
      </c>
      <c r="H862" s="99">
        <f>'Справка 6'!Q23</f>
        <v>18570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43465</v>
      </c>
      <c r="D863" s="99" t="s">
        <v>555</v>
      </c>
      <c r="E863" s="474">
        <v>14</v>
      </c>
      <c r="F863" s="99" t="s">
        <v>554</v>
      </c>
      <c r="H863" s="99">
        <f>'Справка 6'!Q24</f>
        <v>9524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43465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43465</v>
      </c>
      <c r="D865" s="99" t="s">
        <v>558</v>
      </c>
      <c r="E865" s="474">
        <v>14</v>
      </c>
      <c r="F865" s="99" t="s">
        <v>542</v>
      </c>
      <c r="H865" s="99">
        <f>'Справка 6'!Q26</f>
        <v>2321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43465</v>
      </c>
      <c r="D866" s="99" t="s">
        <v>560</v>
      </c>
      <c r="E866" s="474">
        <v>14</v>
      </c>
      <c r="F866" s="99" t="s">
        <v>838</v>
      </c>
      <c r="H866" s="99">
        <f>'Справка 6'!Q27</f>
        <v>30415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43465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43465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43465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43465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43465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43465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43465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43465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43465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43465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43465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43465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43465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43465</v>
      </c>
      <c r="D880" s="99" t="s">
        <v>583</v>
      </c>
      <c r="E880" s="474">
        <v>14</v>
      </c>
      <c r="F880" s="99" t="s">
        <v>582</v>
      </c>
      <c r="H880" s="99">
        <f>'Справка 6'!Q42</f>
        <v>250280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43465</v>
      </c>
      <c r="D881" s="99" t="s">
        <v>523</v>
      </c>
      <c r="E881" s="474">
        <v>15</v>
      </c>
      <c r="F881" s="99" t="s">
        <v>522</v>
      </c>
      <c r="H881" s="99">
        <f>'Справка 6'!R11</f>
        <v>54392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43465</v>
      </c>
      <c r="D882" s="99" t="s">
        <v>526</v>
      </c>
      <c r="E882" s="474">
        <v>15</v>
      </c>
      <c r="F882" s="99" t="s">
        <v>525</v>
      </c>
      <c r="H882" s="99">
        <f>'Справка 6'!R12</f>
        <v>129185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43465</v>
      </c>
      <c r="D883" s="99" t="s">
        <v>529</v>
      </c>
      <c r="E883" s="474">
        <v>15</v>
      </c>
      <c r="F883" s="99" t="s">
        <v>528</v>
      </c>
      <c r="H883" s="99">
        <f>'Справка 6'!R13</f>
        <v>94920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43465</v>
      </c>
      <c r="D884" s="99" t="s">
        <v>532</v>
      </c>
      <c r="E884" s="474">
        <v>15</v>
      </c>
      <c r="F884" s="99" t="s">
        <v>531</v>
      </c>
      <c r="H884" s="99">
        <f>'Справка 6'!R14</f>
        <v>12526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43465</v>
      </c>
      <c r="D885" s="99" t="s">
        <v>535</v>
      </c>
      <c r="E885" s="474">
        <v>15</v>
      </c>
      <c r="F885" s="99" t="s">
        <v>534</v>
      </c>
      <c r="H885" s="99">
        <f>'Справка 6'!R15</f>
        <v>7763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43465</v>
      </c>
      <c r="D886" s="99" t="s">
        <v>537</v>
      </c>
      <c r="E886" s="474">
        <v>15</v>
      </c>
      <c r="F886" s="99" t="s">
        <v>536</v>
      </c>
      <c r="H886" s="99">
        <f>'Справка 6'!R16</f>
        <v>9374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43465</v>
      </c>
      <c r="D887" s="99" t="s">
        <v>540</v>
      </c>
      <c r="E887" s="474">
        <v>15</v>
      </c>
      <c r="F887" s="99" t="s">
        <v>539</v>
      </c>
      <c r="H887" s="99">
        <f>'Справка 6'!R17</f>
        <v>16365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43465</v>
      </c>
      <c r="D888" s="99" t="s">
        <v>543</v>
      </c>
      <c r="E888" s="474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43465</v>
      </c>
      <c r="D889" s="99" t="s">
        <v>545</v>
      </c>
      <c r="E889" s="474">
        <v>15</v>
      </c>
      <c r="F889" s="99" t="s">
        <v>804</v>
      </c>
      <c r="H889" s="99">
        <f>'Справка 6'!R19</f>
        <v>324525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43465</v>
      </c>
      <c r="D890" s="99" t="s">
        <v>547</v>
      </c>
      <c r="E890" s="474">
        <v>15</v>
      </c>
      <c r="F890" s="99" t="s">
        <v>546</v>
      </c>
      <c r="H890" s="99">
        <f>'Справка 6'!R20</f>
        <v>10427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43465</v>
      </c>
      <c r="D891" s="99" t="s">
        <v>549</v>
      </c>
      <c r="E891" s="474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43465</v>
      </c>
      <c r="D892" s="99" t="s">
        <v>553</v>
      </c>
      <c r="E892" s="474">
        <v>15</v>
      </c>
      <c r="F892" s="99" t="s">
        <v>552</v>
      </c>
      <c r="H892" s="99">
        <f>'Справка 6'!R23</f>
        <v>49768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43465</v>
      </c>
      <c r="D893" s="99" t="s">
        <v>555</v>
      </c>
      <c r="E893" s="474">
        <v>15</v>
      </c>
      <c r="F893" s="99" t="s">
        <v>554</v>
      </c>
      <c r="H893" s="99">
        <f>'Справка 6'!R24</f>
        <v>9089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43465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43465</v>
      </c>
      <c r="D895" s="99" t="s">
        <v>558</v>
      </c>
      <c r="E895" s="474">
        <v>15</v>
      </c>
      <c r="F895" s="99" t="s">
        <v>542</v>
      </c>
      <c r="H895" s="99">
        <f>'Справка 6'!R26</f>
        <v>3338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43465</v>
      </c>
      <c r="D896" s="99" t="s">
        <v>560</v>
      </c>
      <c r="E896" s="474">
        <v>15</v>
      </c>
      <c r="F896" s="99" t="s">
        <v>838</v>
      </c>
      <c r="H896" s="99">
        <f>'Справка 6'!R27</f>
        <v>62195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43465</v>
      </c>
      <c r="D897" s="99" t="s">
        <v>562</v>
      </c>
      <c r="E897" s="474">
        <v>15</v>
      </c>
      <c r="F897" s="99" t="s">
        <v>561</v>
      </c>
      <c r="H897" s="99">
        <f>'Справка 6'!R29</f>
        <v>28981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43465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43465</v>
      </c>
      <c r="D899" s="99" t="s">
        <v>564</v>
      </c>
      <c r="E899" s="474">
        <v>15</v>
      </c>
      <c r="F899" s="99" t="s">
        <v>110</v>
      </c>
      <c r="H899" s="99">
        <f>'Справка 6'!R31</f>
        <v>44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43465</v>
      </c>
      <c r="D900" s="99" t="s">
        <v>565</v>
      </c>
      <c r="E900" s="474">
        <v>15</v>
      </c>
      <c r="F900" s="99" t="s">
        <v>113</v>
      </c>
      <c r="H900" s="99">
        <f>'Справка 6'!R32</f>
        <v>20339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43465</v>
      </c>
      <c r="D901" s="99" t="s">
        <v>566</v>
      </c>
      <c r="E901" s="474">
        <v>15</v>
      </c>
      <c r="F901" s="99" t="s">
        <v>115</v>
      </c>
      <c r="H901" s="99">
        <f>'Справка 6'!R33</f>
        <v>8598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43465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43465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43465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43465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43465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43465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43465</v>
      </c>
      <c r="D908" s="99" t="s">
        <v>578</v>
      </c>
      <c r="E908" s="474">
        <v>15</v>
      </c>
      <c r="F908" s="99" t="s">
        <v>803</v>
      </c>
      <c r="H908" s="99">
        <f>'Справка 6'!R40</f>
        <v>28981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43465</v>
      </c>
      <c r="D909" s="99" t="s">
        <v>581</v>
      </c>
      <c r="E909" s="474">
        <v>15</v>
      </c>
      <c r="F909" s="99" t="s">
        <v>580</v>
      </c>
      <c r="H909" s="99">
        <f>'Справка 6'!R41</f>
        <v>23516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43465</v>
      </c>
      <c r="D910" s="99" t="s">
        <v>583</v>
      </c>
      <c r="E910" s="474">
        <v>15</v>
      </c>
      <c r="F910" s="99" t="s">
        <v>582</v>
      </c>
      <c r="H910" s="99">
        <f>'Справка 6'!R42</f>
        <v>449644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43465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43465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23055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43465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22861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43465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43465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194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43465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2570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43465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3829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43465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43465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3829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43465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29454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43465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1590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43465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9942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43465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8566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43465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1376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43465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43465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224514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43465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11397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43465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3303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43465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5804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43465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43465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9866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43465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1045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43465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3908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43465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43465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4913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43465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1929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43465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43465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43465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43465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1929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43465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266755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43465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297799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43465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43465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43465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43465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43465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43465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43465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43465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43465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43465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43465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43465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9942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43465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8566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43465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1376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43465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43465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224514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43465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11397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43465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3303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43465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5804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43465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43465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9866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43465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1045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43465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3908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43465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43465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4913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43465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1929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43465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43465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43465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43465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1929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43465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266755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43465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266755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43465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43465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23055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43465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22861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43465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43465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194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43465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2570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43465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3829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43465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43465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3829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43465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29454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43465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1590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43465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43465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43465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43465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43465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43465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43465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43465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43465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43465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43465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43465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43465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43465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43465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43465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43465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43465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43465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43465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43465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31044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43465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43465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43465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43465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43465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41124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43465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41124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43465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43465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43465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43465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43465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43465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43465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2785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43465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2486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43465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43909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43465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11781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43465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467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43465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433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43465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43465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34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43465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242859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43465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242859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43465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43465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43465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43465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14874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43465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43465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43465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14874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43465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43465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145327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43465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43465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123627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43465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849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43465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11474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43465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6675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43465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1092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43465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3995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43465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1588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43465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2702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43465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29372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43465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432899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43465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488589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43465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43465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43465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43465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43465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43465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43465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43465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43465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43465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43465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43465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43465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43465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43465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43465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43465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467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43465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433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43465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43465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34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43465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242859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43465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242859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43465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43465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43465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43465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14874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43465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43465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43465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14874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43465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43465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145327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43465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43465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123627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43465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849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43465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11474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43465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6675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43465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1092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43465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3995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43465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1588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43465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2702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43465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29372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43465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432899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43465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432899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43465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43465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43465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43465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43465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41124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43465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41124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43465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43465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43465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43465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43465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43465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43465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2785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43465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2486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43465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43909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43465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11781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43465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43465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43465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43465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43465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43465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43465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43465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43465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43465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43465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43465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43465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43465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43465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43465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43465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43465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43465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43465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43465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43465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43465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43465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43465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43465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43465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55690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43465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43465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43465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43465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43465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43465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43465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43465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43465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43465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43465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43465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43465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43465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43465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43465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43465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43465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43465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43465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43465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43465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43465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43465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43465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43465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43465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43465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43465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43465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43465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43465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43465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43465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43465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43465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43465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43465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43465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43465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43465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43465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43465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43465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43465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43465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43465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43465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43465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43465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43465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43465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43465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43465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43465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43465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43465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43465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43465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0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43465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8013101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43465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43465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43465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43465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43465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8013101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43465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43465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8881336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43465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43465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43465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43465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43465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43465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8881336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43465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43465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43465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43465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43465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43465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43465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43465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43465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43465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43465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43465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43465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43465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43465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43465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43465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43465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43465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43465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43465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43465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43465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43465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43465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43465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43465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43465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43465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26258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43465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43465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43465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43465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43465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26258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43465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43465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33337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43465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43465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43465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43465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43465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43465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33337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43465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200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43465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43465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43465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43465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43465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200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43465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43465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43465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43465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43465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43465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43465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43465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43465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43465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43465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43465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43465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43465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43465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43465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43465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43465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43465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43465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43465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43465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43465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26458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43465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43465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43465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43465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43465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26458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43465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43465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33337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43465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43465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43465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43465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43465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43465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33337</v>
      </c>
    </row>
  </sheetData>
  <sheetProtection password="D554" sheet="1" objects="1" scenarios="1" insertRows="0"/>
  <customSheetViews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17A0B690-90B4-478F-B629-540D801E18FD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7"/>
  <sheetViews>
    <sheetView topLeftCell="A34" zoomScale="80" zoomScaleNormal="80" zoomScaleSheetLayoutView="80" workbookViewId="0">
      <selection activeCell="C52" sqref="C52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54392</v>
      </c>
      <c r="D12" s="187">
        <v>51968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129185</v>
      </c>
      <c r="D13" s="187">
        <v>129130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94920</v>
      </c>
      <c r="D14" s="187">
        <v>100868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12526</v>
      </c>
      <c r="D15" s="187">
        <v>12170</v>
      </c>
      <c r="E15" s="191" t="s">
        <v>36</v>
      </c>
      <c r="F15" s="87" t="s">
        <v>37</v>
      </c>
      <c r="G15" s="188">
        <v>-33337</v>
      </c>
      <c r="H15" s="187">
        <v>-33834</v>
      </c>
    </row>
    <row r="16" spans="1:8">
      <c r="A16" s="84" t="s">
        <v>38</v>
      </c>
      <c r="B16" s="86" t="s">
        <v>39</v>
      </c>
      <c r="C16" s="188">
        <v>7763</v>
      </c>
      <c r="D16" s="187">
        <v>7632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9374</v>
      </c>
      <c r="D17" s="187">
        <v>6749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16365</v>
      </c>
      <c r="D18" s="187">
        <v>9103</v>
      </c>
      <c r="E18" s="460" t="s">
        <v>47</v>
      </c>
      <c r="F18" s="459" t="s">
        <v>48</v>
      </c>
      <c r="G18" s="569">
        <f>G12+G15+G16+G17</f>
        <v>101461</v>
      </c>
      <c r="H18" s="570">
        <f>H12+H15+H16+H17</f>
        <v>100964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324525</v>
      </c>
      <c r="D20" s="558">
        <f>SUM(D12:D19)</f>
        <v>317620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10427</v>
      </c>
      <c r="D21" s="456">
        <v>9811</v>
      </c>
      <c r="E21" s="84" t="s">
        <v>58</v>
      </c>
      <c r="F21" s="87" t="s">
        <v>59</v>
      </c>
      <c r="G21" s="188">
        <f>29264+2933+834</f>
        <v>33031</v>
      </c>
      <c r="H21" s="187">
        <v>35744</v>
      </c>
    </row>
    <row r="22" spans="1:13">
      <c r="A22" s="94" t="s">
        <v>60</v>
      </c>
      <c r="B22" s="91" t="s">
        <v>61</v>
      </c>
      <c r="C22" s="455"/>
      <c r="D22" s="456"/>
      <c r="E22" s="192" t="s">
        <v>62</v>
      </c>
      <c r="F22" s="87" t="s">
        <v>63</v>
      </c>
      <c r="G22" s="573">
        <f>SUM(G23:G25)</f>
        <v>55967</v>
      </c>
      <c r="H22" s="574">
        <f>SUM(H23:H25)</f>
        <v>51666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55967</v>
      </c>
      <c r="H23" s="187">
        <v>51666</v>
      </c>
    </row>
    <row r="24" spans="1:13">
      <c r="A24" s="84" t="s">
        <v>67</v>
      </c>
      <c r="B24" s="86" t="s">
        <v>68</v>
      </c>
      <c r="C24" s="188">
        <v>49768</v>
      </c>
      <c r="D24" s="187">
        <v>50375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9089</v>
      </c>
      <c r="D25" s="187">
        <v>9873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88998</v>
      </c>
      <c r="H26" s="558">
        <f>H20+H21+H22</f>
        <v>87410</v>
      </c>
      <c r="M26" s="92"/>
    </row>
    <row r="27" spans="1:13">
      <c r="A27" s="84" t="s">
        <v>79</v>
      </c>
      <c r="B27" s="86" t="s">
        <v>80</v>
      </c>
      <c r="C27" s="188">
        <v>3338</v>
      </c>
      <c r="D27" s="187">
        <v>3201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62195</v>
      </c>
      <c r="D28" s="558">
        <f>SUM(D24:D27)</f>
        <v>63449</v>
      </c>
      <c r="E28" s="193" t="s">
        <v>84</v>
      </c>
      <c r="F28" s="87" t="s">
        <v>85</v>
      </c>
      <c r="G28" s="555">
        <f>SUM(G29:G31)</f>
        <v>256758</v>
      </c>
      <c r="H28" s="556">
        <f>SUM(H29:H31)</f>
        <v>241511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f>285101+2253-28343</f>
        <v>259011</v>
      </c>
      <c r="H29" s="187">
        <v>241511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23516</v>
      </c>
      <c r="D31" s="187">
        <v>23147</v>
      </c>
      <c r="E31" s="84" t="s">
        <v>93</v>
      </c>
      <c r="F31" s="87" t="s">
        <v>94</v>
      </c>
      <c r="G31" s="188">
        <v>-2253</v>
      </c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28343</v>
      </c>
      <c r="H32" s="187">
        <v>39998</v>
      </c>
      <c r="M32" s="92"/>
    </row>
    <row r="33" spans="1:13">
      <c r="A33" s="461" t="s">
        <v>99</v>
      </c>
      <c r="B33" s="91" t="s">
        <v>100</v>
      </c>
      <c r="C33" s="557">
        <f>C31+C32</f>
        <v>23516</v>
      </c>
      <c r="D33" s="558">
        <f>D31+D32</f>
        <v>23147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285101</v>
      </c>
      <c r="H34" s="558">
        <f>H28+H32+H33</f>
        <v>281509</v>
      </c>
    </row>
    <row r="35" spans="1:13">
      <c r="A35" s="84" t="s">
        <v>106</v>
      </c>
      <c r="B35" s="88" t="s">
        <v>107</v>
      </c>
      <c r="C35" s="555">
        <f>SUM(C36:C39)</f>
        <v>28981</v>
      </c>
      <c r="D35" s="556">
        <f>SUM(D36:D39)</f>
        <v>27518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>
        <v>44</v>
      </c>
      <c r="D37" s="187">
        <v>1414</v>
      </c>
      <c r="E37" s="462" t="s">
        <v>822</v>
      </c>
      <c r="F37" s="93" t="s">
        <v>112</v>
      </c>
      <c r="G37" s="559">
        <f>G26+G18+G34</f>
        <v>475560</v>
      </c>
      <c r="H37" s="560">
        <f>H26+H18+H34</f>
        <v>469883</v>
      </c>
    </row>
    <row r="38" spans="1:13">
      <c r="A38" s="84" t="s">
        <v>113</v>
      </c>
      <c r="B38" s="86" t="s">
        <v>114</v>
      </c>
      <c r="C38" s="188">
        <v>20339</v>
      </c>
      <c r="D38" s="187">
        <v>18122</v>
      </c>
      <c r="E38" s="84"/>
      <c r="F38" s="93"/>
      <c r="G38" s="575"/>
      <c r="H38" s="576"/>
      <c r="M38" s="92"/>
    </row>
    <row r="39" spans="1:13" ht="16.5" thickBot="1">
      <c r="A39" s="84" t="s">
        <v>115</v>
      </c>
      <c r="B39" s="86" t="s">
        <v>116</v>
      </c>
      <c r="C39" s="188">
        <v>8598</v>
      </c>
      <c r="D39" s="187">
        <v>7982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32969</v>
      </c>
      <c r="H40" s="543">
        <v>33227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41124</v>
      </c>
      <c r="H45" s="187">
        <v>50526</v>
      </c>
    </row>
    <row r="46" spans="1:13">
      <c r="A46" s="452" t="s">
        <v>137</v>
      </c>
      <c r="B46" s="90" t="s">
        <v>138</v>
      </c>
      <c r="C46" s="557">
        <f>C35+C40+C45</f>
        <v>28981</v>
      </c>
      <c r="D46" s="558">
        <f>D35+D40+D45</f>
        <v>27518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23055</v>
      </c>
      <c r="D48" s="187">
        <v>20599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2570</v>
      </c>
      <c r="D49" s="187">
        <v>1216</v>
      </c>
      <c r="E49" s="84" t="s">
        <v>150</v>
      </c>
      <c r="F49" s="87" t="s">
        <v>151</v>
      </c>
      <c r="G49" s="188">
        <f>2486+299</f>
        <v>2785</v>
      </c>
      <c r="H49" s="187">
        <v>2123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43909</v>
      </c>
      <c r="H50" s="556">
        <f>SUM(H44:H49)</f>
        <v>52649</v>
      </c>
    </row>
    <row r="51" spans="1:13">
      <c r="A51" s="84" t="s">
        <v>79</v>
      </c>
      <c r="B51" s="86" t="s">
        <v>155</v>
      </c>
      <c r="C51" s="188">
        <f>3094+374+361</f>
        <v>3829</v>
      </c>
      <c r="D51" s="187">
        <v>3667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29454</v>
      </c>
      <c r="D52" s="558">
        <f>SUM(D48:D51)</f>
        <v>25482</v>
      </c>
      <c r="E52" s="192" t="s">
        <v>158</v>
      </c>
      <c r="F52" s="89" t="s">
        <v>159</v>
      </c>
      <c r="G52" s="188">
        <v>6015</v>
      </c>
      <c r="H52" s="187">
        <v>5458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11781</v>
      </c>
      <c r="H54" s="187">
        <v>13704</v>
      </c>
    </row>
    <row r="55" spans="1:13">
      <c r="A55" s="94" t="s">
        <v>166</v>
      </c>
      <c r="B55" s="90" t="s">
        <v>167</v>
      </c>
      <c r="C55" s="457">
        <v>1590</v>
      </c>
      <c r="D55" s="458">
        <v>1342</v>
      </c>
      <c r="E55" s="84" t="s">
        <v>168</v>
      </c>
      <c r="F55" s="89" t="s">
        <v>169</v>
      </c>
      <c r="G55" s="188">
        <v>7470</v>
      </c>
      <c r="H55" s="187">
        <v>8250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480688</v>
      </c>
      <c r="D56" s="562">
        <f>D20+D21+D22+D28+D33+D46+D52+D54+D55</f>
        <v>468369</v>
      </c>
      <c r="E56" s="94" t="s">
        <v>825</v>
      </c>
      <c r="F56" s="93" t="s">
        <v>172</v>
      </c>
      <c r="G56" s="559">
        <f>G50+G52+G53+G54+G55</f>
        <v>69175</v>
      </c>
      <c r="H56" s="560">
        <f>H50+H52+H53+H54+H55</f>
        <v>80061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1.5">
      <c r="A59" s="84" t="s">
        <v>176</v>
      </c>
      <c r="B59" s="86" t="s">
        <v>177</v>
      </c>
      <c r="C59" s="188">
        <v>34313</v>
      </c>
      <c r="D59" s="187">
        <v>33102</v>
      </c>
      <c r="E59" s="192" t="s">
        <v>180</v>
      </c>
      <c r="F59" s="465" t="s">
        <v>181</v>
      </c>
      <c r="G59" s="188">
        <v>242859</v>
      </c>
      <c r="H59" s="187">
        <v>194165</v>
      </c>
    </row>
    <row r="60" spans="1:13">
      <c r="A60" s="84" t="s">
        <v>178</v>
      </c>
      <c r="B60" s="86" t="s">
        <v>179</v>
      </c>
      <c r="C60" s="188">
        <f>27424+9090</f>
        <v>36514</v>
      </c>
      <c r="D60" s="187">
        <v>38354</v>
      </c>
      <c r="E60" s="84" t="s">
        <v>184</v>
      </c>
      <c r="F60" s="87" t="s">
        <v>185</v>
      </c>
      <c r="G60" s="188">
        <v>14874</v>
      </c>
      <c r="H60" s="187">
        <v>14478</v>
      </c>
      <c r="M60" s="92"/>
    </row>
    <row r="61" spans="1:13">
      <c r="A61" s="84" t="s">
        <v>182</v>
      </c>
      <c r="B61" s="86" t="s">
        <v>183</v>
      </c>
      <c r="C61" s="188">
        <v>155470</v>
      </c>
      <c r="D61" s="187">
        <v>140218</v>
      </c>
      <c r="E61" s="191" t="s">
        <v>188</v>
      </c>
      <c r="F61" s="87" t="s">
        <v>189</v>
      </c>
      <c r="G61" s="555">
        <f>SUM(G62:G68)</f>
        <v>145794</v>
      </c>
      <c r="H61" s="556">
        <f>SUM(H62:H68)</f>
        <v>156352</v>
      </c>
    </row>
    <row r="62" spans="1:13">
      <c r="A62" s="84" t="s">
        <v>186</v>
      </c>
      <c r="B62" s="88" t="s">
        <v>187</v>
      </c>
      <c r="C62" s="188">
        <v>9466</v>
      </c>
      <c r="D62" s="187">
        <v>6435</v>
      </c>
      <c r="E62" s="191" t="s">
        <v>192</v>
      </c>
      <c r="F62" s="87" t="s">
        <v>193</v>
      </c>
      <c r="G62" s="188">
        <v>467</v>
      </c>
      <c r="H62" s="187">
        <v>757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157</v>
      </c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123627</v>
      </c>
      <c r="H64" s="187">
        <v>134556</v>
      </c>
      <c r="M64" s="92"/>
    </row>
    <row r="65" spans="1:13">
      <c r="A65" s="461" t="s">
        <v>52</v>
      </c>
      <c r="B65" s="90" t="s">
        <v>198</v>
      </c>
      <c r="C65" s="557">
        <f>SUM(C59:C64)</f>
        <v>235763</v>
      </c>
      <c r="D65" s="558">
        <f>SUM(D59:D64)</f>
        <v>218109</v>
      </c>
      <c r="E65" s="84" t="s">
        <v>201</v>
      </c>
      <c r="F65" s="87" t="s">
        <v>202</v>
      </c>
      <c r="G65" s="188">
        <v>849</v>
      </c>
      <c r="H65" s="187">
        <v>612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11474</v>
      </c>
      <c r="H66" s="187">
        <v>10317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2702</v>
      </c>
      <c r="H67" s="187">
        <v>2578</v>
      </c>
    </row>
    <row r="68" spans="1:13">
      <c r="A68" s="84" t="s">
        <v>206</v>
      </c>
      <c r="B68" s="86" t="s">
        <v>207</v>
      </c>
      <c r="C68" s="188">
        <v>9942</v>
      </c>
      <c r="D68" s="187">
        <v>4694</v>
      </c>
      <c r="E68" s="84" t="s">
        <v>212</v>
      </c>
      <c r="F68" s="87" t="s">
        <v>213</v>
      </c>
      <c r="G68" s="188">
        <v>6675</v>
      </c>
      <c r="H68" s="187">
        <v>7375</v>
      </c>
    </row>
    <row r="69" spans="1:13">
      <c r="A69" s="84" t="s">
        <v>210</v>
      </c>
      <c r="B69" s="86" t="s">
        <v>211</v>
      </c>
      <c r="C69" s="188">
        <v>224514</v>
      </c>
      <c r="D69" s="187">
        <v>230772</v>
      </c>
      <c r="E69" s="192" t="s">
        <v>79</v>
      </c>
      <c r="F69" s="87" t="s">
        <v>216</v>
      </c>
      <c r="G69" s="188">
        <f>7581+21791</f>
        <v>29372</v>
      </c>
      <c r="H69" s="187">
        <v>32567</v>
      </c>
    </row>
    <row r="70" spans="1:13">
      <c r="A70" s="84" t="s">
        <v>214</v>
      </c>
      <c r="B70" s="86" t="s">
        <v>215</v>
      </c>
      <c r="C70" s="188">
        <v>11397</v>
      </c>
      <c r="D70" s="187">
        <v>4421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3303</v>
      </c>
      <c r="D71" s="187">
        <v>3219</v>
      </c>
      <c r="E71" s="453" t="s">
        <v>47</v>
      </c>
      <c r="F71" s="89" t="s">
        <v>223</v>
      </c>
      <c r="G71" s="557">
        <f>G59+G60+G61+G69+G70</f>
        <v>432899</v>
      </c>
      <c r="H71" s="558">
        <f>H59+H60+H61+H69+H70</f>
        <v>397562</v>
      </c>
    </row>
    <row r="72" spans="1:13">
      <c r="A72" s="84" t="s">
        <v>221</v>
      </c>
      <c r="B72" s="86" t="s">
        <v>222</v>
      </c>
      <c r="C72" s="188">
        <v>5804</v>
      </c>
      <c r="D72" s="187">
        <v>5606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9866</v>
      </c>
      <c r="D73" s="187">
        <v>8075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f>324+270+11+1324</f>
        <v>1929</v>
      </c>
      <c r="D75" s="187">
        <f>6140-3915</f>
        <v>2225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266755</v>
      </c>
      <c r="D76" s="558">
        <f>SUM(D68:D75)</f>
        <v>259012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432899</v>
      </c>
      <c r="H79" s="560">
        <f>H71+H73+H75+H77</f>
        <v>397562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3871</v>
      </c>
      <c r="D88" s="187">
        <v>2337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f>17585-166+2813</f>
        <v>20232</v>
      </c>
      <c r="D89" s="187">
        <f>17388+2863</f>
        <v>20251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f>26+1009+444</f>
        <v>1479</v>
      </c>
      <c r="D90" s="187">
        <f>10537+177+26</f>
        <v>10740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25582</v>
      </c>
      <c r="D92" s="558">
        <f>SUM(D88:D91)</f>
        <v>33328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1815</v>
      </c>
      <c r="D93" s="458">
        <v>1915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529915</v>
      </c>
      <c r="D94" s="562">
        <f>D65+D76+D85+D92+D93</f>
        <v>512364</v>
      </c>
      <c r="E94" s="218"/>
      <c r="F94" s="219"/>
      <c r="G94" s="584"/>
      <c r="H94" s="585"/>
      <c r="M94" s="92"/>
    </row>
    <row r="95" spans="1:13" ht="32.25" thickBot="1">
      <c r="A95" s="466" t="s">
        <v>265</v>
      </c>
      <c r="B95" s="467" t="s">
        <v>266</v>
      </c>
      <c r="C95" s="563">
        <f>C94+C56</f>
        <v>1010603</v>
      </c>
      <c r="D95" s="564">
        <f>D94+D56</f>
        <v>980733</v>
      </c>
      <c r="E95" s="220" t="s">
        <v>916</v>
      </c>
      <c r="F95" s="468" t="s">
        <v>268</v>
      </c>
      <c r="G95" s="563">
        <f>G37+G40+G56+G79</f>
        <v>1010603</v>
      </c>
      <c r="H95" s="564">
        <f>H37+H40+H56+H79</f>
        <v>980733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0">
        <f>pdeReportingDate</f>
        <v>43579</v>
      </c>
      <c r="C98" s="700"/>
      <c r="D98" s="700"/>
      <c r="E98" s="700"/>
      <c r="F98" s="700"/>
      <c r="G98" s="700"/>
      <c r="H98" s="700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1" t="str">
        <f>authorName</f>
        <v>Людмила Бонджова</v>
      </c>
      <c r="C101" s="701"/>
      <c r="D101" s="701"/>
      <c r="E101" s="701"/>
      <c r="F101" s="701"/>
      <c r="G101" s="701"/>
      <c r="H101" s="701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2"/>
      <c r="C104" s="702"/>
      <c r="D104" s="702"/>
      <c r="E104" s="702"/>
      <c r="F104" s="702"/>
      <c r="G104" s="702"/>
      <c r="H104" s="702"/>
    </row>
    <row r="105" spans="1:13" ht="21.75" customHeight="1">
      <c r="A105" s="653"/>
      <c r="B105" s="703" t="str">
        <f>+Начална!B17</f>
        <v>Огнян Донев</v>
      </c>
      <c r="C105" s="699"/>
      <c r="D105" s="699"/>
      <c r="E105" s="699"/>
      <c r="M105" s="92"/>
    </row>
    <row r="106" spans="1:13" ht="21.75" customHeight="1">
      <c r="A106" s="653"/>
      <c r="B106" s="699"/>
      <c r="C106" s="699"/>
      <c r="D106" s="699"/>
      <c r="E106" s="699"/>
    </row>
    <row r="107" spans="1:13" ht="21.75" customHeight="1">
      <c r="A107" s="653"/>
      <c r="B107" s="699"/>
      <c r="C107" s="699"/>
      <c r="D107" s="699"/>
      <c r="E107" s="699"/>
      <c r="M107" s="92"/>
    </row>
    <row r="108" spans="1:13" ht="21.75" customHeight="1">
      <c r="A108" s="653"/>
      <c r="B108" s="699"/>
      <c r="C108" s="699"/>
      <c r="D108" s="699"/>
      <c r="E108" s="699"/>
    </row>
    <row r="109" spans="1:13" ht="21.75" customHeight="1">
      <c r="A109" s="653"/>
      <c r="B109" s="699"/>
      <c r="C109" s="699"/>
      <c r="D109" s="699"/>
      <c r="E109" s="699"/>
      <c r="M109" s="92"/>
    </row>
    <row r="110" spans="1:13" ht="21.75" customHeight="1">
      <c r="A110" s="653"/>
      <c r="B110" s="699"/>
      <c r="C110" s="699"/>
      <c r="D110" s="699"/>
      <c r="E110" s="699"/>
    </row>
    <row r="111" spans="1:13" ht="21.75" customHeight="1">
      <c r="A111" s="653"/>
      <c r="B111" s="699"/>
      <c r="C111" s="699"/>
      <c r="D111" s="699"/>
      <c r="E111" s="699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17A0B690-90B4-478F-B629-540D801E18FD}" scale="70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1"/>
      <headerFooter alignWithMargins="0"/>
    </customSheetView>
    <customSheetView guid="{F2D4D9F9-DE61-45A3-92A2-4E78F2B34B7F}" scale="70" showPageBreaks="1" printArea="1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2"/>
      <headerFooter alignWithMargins="0"/>
    </customSheetView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5"/>
  <sheetViews>
    <sheetView view="pageBreakPreview" zoomScale="80" zoomScaleNormal="70" zoomScaleSheetLayoutView="80" workbookViewId="0">
      <selection activeCell="H17" sqref="H17"/>
    </sheetView>
  </sheetViews>
  <sheetFormatPr defaultColWidth="9.28515625" defaultRowHeight="15.7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91303</v>
      </c>
      <c r="D12" s="664">
        <v>90153</v>
      </c>
      <c r="E12" s="185" t="s">
        <v>277</v>
      </c>
      <c r="F12" s="231" t="s">
        <v>278</v>
      </c>
      <c r="G12" s="307">
        <v>250809</v>
      </c>
      <c r="H12" s="308">
        <v>249530</v>
      </c>
    </row>
    <row r="13" spans="1:8">
      <c r="A13" s="185" t="s">
        <v>279</v>
      </c>
      <c r="B13" s="181" t="s">
        <v>280</v>
      </c>
      <c r="C13" s="307">
        <v>75897</v>
      </c>
      <c r="D13" s="664">
        <v>63546</v>
      </c>
      <c r="E13" s="185" t="s">
        <v>281</v>
      </c>
      <c r="F13" s="231" t="s">
        <v>282</v>
      </c>
      <c r="G13" s="307">
        <v>928334</v>
      </c>
      <c r="H13" s="308">
        <v>767575</v>
      </c>
    </row>
    <row r="14" spans="1:8">
      <c r="A14" s="185" t="s">
        <v>283</v>
      </c>
      <c r="B14" s="181" t="s">
        <v>284</v>
      </c>
      <c r="C14" s="307">
        <v>33135</v>
      </c>
      <c r="D14" s="664">
        <v>30108</v>
      </c>
      <c r="E14" s="236" t="s">
        <v>285</v>
      </c>
      <c r="F14" s="231" t="s">
        <v>286</v>
      </c>
      <c r="G14" s="307">
        <f>7675+910+822</f>
        <v>9407</v>
      </c>
      <c r="H14" s="308">
        <v>7029</v>
      </c>
    </row>
    <row r="15" spans="1:8">
      <c r="A15" s="185" t="s">
        <v>287</v>
      </c>
      <c r="B15" s="181" t="s">
        <v>288</v>
      </c>
      <c r="C15" s="307">
        <f>92128+3905+1850+1276+1224+824</f>
        <v>101207</v>
      </c>
      <c r="D15" s="664">
        <v>86314</v>
      </c>
      <c r="E15" s="236" t="s">
        <v>79</v>
      </c>
      <c r="F15" s="231" t="s">
        <v>289</v>
      </c>
      <c r="G15" s="307">
        <f>1400+613+446+133+637-1688</f>
        <v>1541</v>
      </c>
      <c r="H15" s="308">
        <v>1423</v>
      </c>
    </row>
    <row r="16" spans="1:8">
      <c r="A16" s="185" t="s">
        <v>290</v>
      </c>
      <c r="B16" s="181" t="s">
        <v>291</v>
      </c>
      <c r="C16" s="307">
        <f>17946+288</f>
        <v>18234</v>
      </c>
      <c r="D16" s="664">
        <v>15110</v>
      </c>
      <c r="E16" s="227" t="s">
        <v>52</v>
      </c>
      <c r="F16" s="255" t="s">
        <v>292</v>
      </c>
      <c r="G16" s="588">
        <f>SUM(G12:G15)</f>
        <v>1190091</v>
      </c>
      <c r="H16" s="589">
        <f>SUM(H12:H15)</f>
        <v>1025557</v>
      </c>
    </row>
    <row r="17" spans="1:8" ht="31.5">
      <c r="A17" s="185" t="s">
        <v>293</v>
      </c>
      <c r="B17" s="181" t="s">
        <v>294</v>
      </c>
      <c r="C17" s="307">
        <v>825571</v>
      </c>
      <c r="D17" s="664">
        <v>679951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-8773</v>
      </c>
      <c r="D18" s="664">
        <v>-8741</v>
      </c>
      <c r="E18" s="225" t="s">
        <v>297</v>
      </c>
      <c r="F18" s="229" t="s">
        <v>298</v>
      </c>
      <c r="G18" s="599">
        <v>889</v>
      </c>
      <c r="H18" s="669">
        <v>1156</v>
      </c>
    </row>
    <row r="19" spans="1:8">
      <c r="A19" s="185" t="s">
        <v>299</v>
      </c>
      <c r="B19" s="181" t="s">
        <v>300</v>
      </c>
      <c r="C19" s="307">
        <f>15263+186</f>
        <v>15449</v>
      </c>
      <c r="D19" s="664">
        <v>15107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f>3032+1562+186</f>
        <v>4780</v>
      </c>
      <c r="D20" s="664">
        <v>3457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1152023</v>
      </c>
      <c r="D22" s="589">
        <f>SUM(D12:D18)+D19</f>
        <v>971548</v>
      </c>
      <c r="E22" s="185" t="s">
        <v>309</v>
      </c>
      <c r="F22" s="228" t="s">
        <v>310</v>
      </c>
      <c r="G22" s="307">
        <f>2616+1167+3</f>
        <v>3786</v>
      </c>
      <c r="H22" s="308">
        <v>5249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96</v>
      </c>
      <c r="H23" s="308">
        <v>155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2965</v>
      </c>
    </row>
    <row r="25" spans="1:8" ht="31.5">
      <c r="A25" s="185" t="s">
        <v>316</v>
      </c>
      <c r="B25" s="228" t="s">
        <v>317</v>
      </c>
      <c r="C25" s="307">
        <f>7233+374+84</f>
        <v>7691</v>
      </c>
      <c r="D25" s="665">
        <v>7704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11</v>
      </c>
      <c r="D26" s="665"/>
      <c r="E26" s="185" t="s">
        <v>322</v>
      </c>
      <c r="F26" s="228" t="s">
        <v>323</v>
      </c>
      <c r="G26" s="307">
        <v>152</v>
      </c>
      <c r="H26" s="308"/>
    </row>
    <row r="27" spans="1:8" ht="31.5">
      <c r="A27" s="185" t="s">
        <v>324</v>
      </c>
      <c r="B27" s="228" t="s">
        <v>325</v>
      </c>
      <c r="C27" s="307">
        <v>565</v>
      </c>
      <c r="D27" s="665">
        <v>2904</v>
      </c>
      <c r="E27" s="227" t="s">
        <v>104</v>
      </c>
      <c r="F27" s="229" t="s">
        <v>326</v>
      </c>
      <c r="G27" s="588">
        <f>SUM(G22:G26)</f>
        <v>4034</v>
      </c>
      <c r="H27" s="589">
        <f>SUM(H22:H26)</f>
        <v>8369</v>
      </c>
    </row>
    <row r="28" spans="1:8">
      <c r="A28" s="185" t="s">
        <v>79</v>
      </c>
      <c r="B28" s="228" t="s">
        <v>327</v>
      </c>
      <c r="C28" s="307">
        <f>753+528+133+47</f>
        <v>1461</v>
      </c>
      <c r="D28" s="665">
        <v>1023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9728</v>
      </c>
      <c r="D29" s="589">
        <f>SUM(D25:D28)</f>
        <v>11631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1161751</v>
      </c>
      <c r="D31" s="595">
        <f>D29+D22</f>
        <v>983179</v>
      </c>
      <c r="E31" s="242" t="s">
        <v>800</v>
      </c>
      <c r="F31" s="257" t="s">
        <v>331</v>
      </c>
      <c r="G31" s="244">
        <f>G16+G18+G27</f>
        <v>1195014</v>
      </c>
      <c r="H31" s="245">
        <f>H16+H18+H27</f>
        <v>1035082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33263</v>
      </c>
      <c r="D33" s="235">
        <f>IF((H31-D31)&gt;0,H31-D31,0)</f>
        <v>51903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2076</v>
      </c>
      <c r="D34" s="666">
        <v>447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1159675</v>
      </c>
      <c r="D36" s="597">
        <f>D31-D34+D35</f>
        <v>982732</v>
      </c>
      <c r="E36" s="253" t="s">
        <v>346</v>
      </c>
      <c r="F36" s="247" t="s">
        <v>347</v>
      </c>
      <c r="G36" s="258">
        <f>G35-G34+G31</f>
        <v>1195014</v>
      </c>
      <c r="H36" s="259">
        <f>H35-H34+H31</f>
        <v>1035082</v>
      </c>
    </row>
    <row r="37" spans="1:8">
      <c r="A37" s="252" t="s">
        <v>348</v>
      </c>
      <c r="B37" s="222" t="s">
        <v>349</v>
      </c>
      <c r="C37" s="594">
        <f>IF((G36-C36)&gt;0,G36-C36,0)</f>
        <v>35339</v>
      </c>
      <c r="D37" s="595">
        <f>IF((H36-D36)&gt;0,H36-D36,0)</f>
        <v>52350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4702</v>
      </c>
      <c r="D38" s="589">
        <f>D39+D40+D41</f>
        <v>6578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4702</v>
      </c>
      <c r="D39" s="667">
        <v>6578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30637</v>
      </c>
      <c r="D42" s="235">
        <f>+IF((H36-D36-D38)&gt;0,H36-D36-D38,0)</f>
        <v>45772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2294</v>
      </c>
      <c r="D43" s="668">
        <v>5774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28343</v>
      </c>
      <c r="D44" s="259">
        <f>IF(H42=0,IF(D42-D43&gt;0,D42-D43+H43,0),IF(H42-H43&lt;0,H43-H42+D42,0))</f>
        <v>39998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1195014</v>
      </c>
      <c r="D45" s="591">
        <f>D36+D38+D42</f>
        <v>1035082</v>
      </c>
      <c r="E45" s="261" t="s">
        <v>373</v>
      </c>
      <c r="F45" s="263" t="s">
        <v>374</v>
      </c>
      <c r="G45" s="590">
        <f>G42+G36</f>
        <v>1195014</v>
      </c>
      <c r="H45" s="591">
        <f>H42+H36</f>
        <v>1035082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4" t="s">
        <v>951</v>
      </c>
      <c r="B47" s="704"/>
      <c r="C47" s="704"/>
      <c r="D47" s="704"/>
      <c r="E47" s="704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0">
        <f>pdeReportingDate</f>
        <v>43579</v>
      </c>
      <c r="C50" s="700"/>
      <c r="D50" s="700"/>
      <c r="E50" s="700"/>
      <c r="F50" s="700"/>
      <c r="G50" s="700"/>
      <c r="H50" s="700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1" t="str">
        <f>authorName</f>
        <v>Людмила Бонджова</v>
      </c>
      <c r="C53" s="701"/>
      <c r="D53" s="701"/>
      <c r="E53" s="701"/>
      <c r="F53" s="701"/>
      <c r="G53" s="701"/>
      <c r="H53" s="701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2"/>
      <c r="C56" s="702"/>
      <c r="D56" s="702"/>
      <c r="E56" s="702"/>
      <c r="F56" s="702"/>
      <c r="G56" s="702"/>
      <c r="H56" s="702"/>
    </row>
    <row r="57" spans="1:13" ht="15.75" customHeight="1">
      <c r="A57" s="653"/>
      <c r="B57" s="703" t="str">
        <f>+Начална!B17</f>
        <v>Огнян Донев</v>
      </c>
      <c r="C57" s="699"/>
      <c r="D57" s="699"/>
      <c r="E57" s="699"/>
      <c r="F57" s="535"/>
      <c r="G57" s="44"/>
      <c r="H57" s="41"/>
    </row>
    <row r="58" spans="1:13" ht="15.75" customHeight="1">
      <c r="A58" s="653"/>
      <c r="B58" s="699"/>
      <c r="C58" s="699"/>
      <c r="D58" s="699"/>
      <c r="E58" s="699"/>
      <c r="F58" s="535"/>
      <c r="G58" s="44"/>
      <c r="H58" s="41"/>
    </row>
    <row r="59" spans="1:13" ht="15.75" customHeight="1">
      <c r="A59" s="653"/>
      <c r="B59" s="699"/>
      <c r="C59" s="699"/>
      <c r="D59" s="699"/>
      <c r="E59" s="699"/>
      <c r="F59" s="535"/>
      <c r="G59" s="44"/>
      <c r="H59" s="41"/>
    </row>
    <row r="60" spans="1:13" ht="15.75" customHeight="1">
      <c r="A60" s="653"/>
      <c r="B60" s="699"/>
      <c r="C60" s="699"/>
      <c r="D60" s="699"/>
      <c r="E60" s="699"/>
      <c r="F60" s="535"/>
      <c r="G60" s="44"/>
      <c r="H60" s="41"/>
    </row>
    <row r="61" spans="1:13">
      <c r="A61" s="653"/>
      <c r="B61" s="699"/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17A0B690-90B4-478F-B629-540D801E18FD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0" orientation="landscape" r:id="rId1"/>
      <headerFooter alignWithMargins="0"/>
    </customSheetView>
    <customSheetView guid="{F2D4D9F9-DE61-45A3-92A2-4E78F2B34B7F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2" orientation="landscape" r:id="rId2"/>
      <headerFooter alignWithMargins="0"/>
    </customSheetView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3"/>
  <sheetViews>
    <sheetView topLeftCell="A7" zoomScale="70" zoomScaleNormal="70" zoomScaleSheetLayoutView="80" workbookViewId="0">
      <selection activeCell="C11" sqref="C11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31.12.2018 г.</v>
      </c>
      <c r="B6" s="472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1201720</v>
      </c>
      <c r="D11" s="187">
        <v>1058642</v>
      </c>
      <c r="E11" s="168"/>
      <c r="F11" s="168"/>
    </row>
    <row r="12" spans="1:13">
      <c r="A12" s="268" t="s">
        <v>380</v>
      </c>
      <c r="B12" s="169" t="s">
        <v>381</v>
      </c>
      <c r="C12" s="662">
        <v>-1142091</v>
      </c>
      <c r="D12" s="187">
        <v>-950645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-110689</v>
      </c>
      <c r="D14" s="187">
        <v>-94348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f>-64569+8401</f>
        <v>-56168</v>
      </c>
      <c r="D15" s="187">
        <v>-57211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f>-8227+47</f>
        <v>-8180</v>
      </c>
      <c r="D16" s="187">
        <v>-6136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-6219</v>
      </c>
      <c r="D18" s="187">
        <v>-5363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-860</v>
      </c>
      <c r="D19" s="187">
        <v>-1308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-1297</v>
      </c>
      <c r="D20" s="187">
        <v>-1975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-123784</v>
      </c>
      <c r="D21" s="618">
        <f>SUM(D11:D20)</f>
        <v>-58344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f>-24364-3478</f>
        <v>-27842</v>
      </c>
      <c r="D23" s="187">
        <v>-22540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630</v>
      </c>
      <c r="D24" s="187">
        <v>5186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f>-30289-7460</f>
        <v>-37749</v>
      </c>
      <c r="D25" s="187">
        <v>-105392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f>22677+5134</f>
        <v>27811</v>
      </c>
      <c r="D26" s="187">
        <v>100937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1005</v>
      </c>
      <c r="D27" s="187">
        <v>1218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f>-2330-1287-227-2146</f>
        <v>-5990</v>
      </c>
      <c r="D28" s="187">
        <v>-57042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f>907+7</f>
        <v>914</v>
      </c>
      <c r="D29" s="187">
        <v>731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>
        <v>97</v>
      </c>
      <c r="D30" s="187">
        <v>148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>
        <v>-54</v>
      </c>
      <c r="D32" s="187">
        <v>-53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-41178</v>
      </c>
      <c r="D33" s="618">
        <f>SUM(D23:D32)</f>
        <v>-76807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>
        <v>206</v>
      </c>
      <c r="D35" s="187">
        <v>675</v>
      </c>
      <c r="E35" s="168"/>
      <c r="F35" s="168"/>
    </row>
    <row r="36" spans="1:13">
      <c r="A36" s="269" t="s">
        <v>425</v>
      </c>
      <c r="B36" s="169" t="s">
        <v>426</v>
      </c>
      <c r="C36" s="662">
        <f>-861+11</f>
        <v>-850</v>
      </c>
      <c r="D36" s="187">
        <v>-14500</v>
      </c>
      <c r="E36" s="168"/>
      <c r="F36" s="168"/>
    </row>
    <row r="37" spans="1:13">
      <c r="A37" s="268" t="s">
        <v>427</v>
      </c>
      <c r="B37" s="169" t="s">
        <v>428</v>
      </c>
      <c r="C37" s="662">
        <f>50838+6197+84</f>
        <v>57119</v>
      </c>
      <c r="D37" s="187">
        <v>58441</v>
      </c>
      <c r="E37" s="168"/>
      <c r="F37" s="168"/>
    </row>
    <row r="38" spans="1:13">
      <c r="A38" s="268" t="s">
        <v>429</v>
      </c>
      <c r="B38" s="169" t="s">
        <v>430</v>
      </c>
      <c r="C38" s="662">
        <f>-1959-14977-248</f>
        <v>-17184</v>
      </c>
      <c r="D38" s="187">
        <v>-20325</v>
      </c>
      <c r="E38" s="168"/>
      <c r="F38" s="168"/>
    </row>
    <row r="39" spans="1:13">
      <c r="A39" s="268" t="s">
        <v>431</v>
      </c>
      <c r="B39" s="169" t="s">
        <v>432</v>
      </c>
      <c r="C39" s="662">
        <v>-2205</v>
      </c>
      <c r="D39" s="187">
        <v>-1745</v>
      </c>
      <c r="E39" s="168"/>
      <c r="F39" s="168"/>
    </row>
    <row r="40" spans="1:13" ht="31.5">
      <c r="A40" s="268" t="s">
        <v>433</v>
      </c>
      <c r="B40" s="169" t="s">
        <v>434</v>
      </c>
      <c r="C40" s="662">
        <v>-1257</v>
      </c>
      <c r="D40" s="187">
        <v>-2564</v>
      </c>
      <c r="E40" s="168"/>
      <c r="F40" s="168"/>
    </row>
    <row r="41" spans="1:13">
      <c r="A41" s="268" t="s">
        <v>435</v>
      </c>
      <c r="B41" s="169" t="s">
        <v>436</v>
      </c>
      <c r="C41" s="662">
        <v>-22613</v>
      </c>
      <c r="D41" s="187">
        <v>-15478</v>
      </c>
      <c r="E41" s="168"/>
      <c r="F41" s="168"/>
    </row>
    <row r="42" spans="1:13">
      <c r="A42" s="268" t="s">
        <v>437</v>
      </c>
      <c r="B42" s="169" t="s">
        <v>438</v>
      </c>
      <c r="C42" s="662">
        <f>153574-313</f>
        <v>153261</v>
      </c>
      <c r="D42" s="187">
        <v>130922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19">
        <f>SUM(C35:C42)</f>
        <v>166477</v>
      </c>
      <c r="D43" s="620">
        <f>SUM(D35:D42)</f>
        <v>135426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1515</v>
      </c>
      <c r="D44" s="298">
        <f>D43+D33+D21</f>
        <v>275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22614</v>
      </c>
      <c r="D45" s="300">
        <v>22339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24129</v>
      </c>
      <c r="D46" s="302">
        <f>D45+D44</f>
        <v>22614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f>17585-166+3871+2813</f>
        <v>24103</v>
      </c>
      <c r="D47" s="289">
        <f>17554-166+2337+2863</f>
        <v>22588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f>26+1009+444</f>
        <v>1479</v>
      </c>
      <c r="D48" s="272">
        <f>26+10537+177</f>
        <v>10740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5" t="s">
        <v>947</v>
      </c>
      <c r="B51" s="705"/>
      <c r="C51" s="705"/>
      <c r="D51" s="705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0">
        <f>pdeReportingDate</f>
        <v>43579</v>
      </c>
      <c r="C54" s="700"/>
      <c r="D54" s="700"/>
      <c r="E54" s="700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0"/>
      <c r="C56" s="700"/>
      <c r="D56" s="700"/>
      <c r="E56" s="700"/>
      <c r="F56" s="51"/>
      <c r="G56" s="51"/>
      <c r="H56" s="51"/>
      <c r="M56" s="92"/>
    </row>
    <row r="57" spans="1:13" s="41" customFormat="1">
      <c r="A57" s="652" t="s">
        <v>8</v>
      </c>
      <c r="B57" s="701" t="str">
        <f>authorName</f>
        <v>Людмила Бонджова</v>
      </c>
      <c r="C57" s="701"/>
      <c r="D57" s="701"/>
      <c r="E57" s="701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1"/>
      <c r="C59" s="701"/>
      <c r="D59" s="701"/>
      <c r="E59" s="701"/>
      <c r="F59" s="75"/>
      <c r="G59" s="75"/>
      <c r="H59" s="75"/>
    </row>
    <row r="60" spans="1:13" s="41" customFormat="1">
      <c r="A60" s="652" t="s">
        <v>894</v>
      </c>
      <c r="B60" s="701"/>
      <c r="C60" s="701"/>
      <c r="D60" s="701"/>
      <c r="E60" s="701"/>
      <c r="F60" s="75"/>
      <c r="G60" s="75"/>
      <c r="H60" s="75"/>
    </row>
    <row r="61" spans="1:13" s="182" customFormat="1">
      <c r="A61" s="653"/>
      <c r="B61" s="703" t="str">
        <f>+Начална!B17</f>
        <v>Огнян Донев</v>
      </c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653"/>
      <c r="B64" s="699"/>
      <c r="C64" s="699"/>
      <c r="D64" s="699"/>
      <c r="E64" s="699"/>
      <c r="F64" s="535"/>
      <c r="G64" s="44"/>
      <c r="H64" s="41"/>
    </row>
    <row r="65" spans="1:8">
      <c r="A65" s="653"/>
      <c r="B65" s="699"/>
      <c r="C65" s="699"/>
      <c r="D65" s="699"/>
      <c r="E65" s="699"/>
      <c r="F65" s="535"/>
      <c r="G65" s="44"/>
      <c r="H65" s="41"/>
    </row>
    <row r="66" spans="1:8">
      <c r="A66" s="653"/>
      <c r="B66" s="699"/>
      <c r="C66" s="699"/>
      <c r="D66" s="699"/>
      <c r="E66" s="699"/>
      <c r="F66" s="535"/>
      <c r="G66" s="44"/>
      <c r="H66" s="41"/>
    </row>
    <row r="67" spans="1:8">
      <c r="A67" s="653"/>
      <c r="B67" s="699"/>
      <c r="C67" s="699"/>
      <c r="D67" s="699"/>
      <c r="E67" s="699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17A0B690-90B4-478F-B629-540D801E18FD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F2D4D9F9-DE61-45A3-92A2-4E78F2B34B7F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7"/>
  <sheetViews>
    <sheetView zoomScale="80" zoomScaleNormal="10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41" sqref="B41:H41"/>
    </sheetView>
  </sheetViews>
  <sheetFormatPr defaultColWidth="9.28515625" defaultRowHeight="15.7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0" t="s">
        <v>453</v>
      </c>
      <c r="B8" s="713" t="s">
        <v>454</v>
      </c>
      <c r="C8" s="706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6" t="s">
        <v>460</v>
      </c>
      <c r="L8" s="706" t="s">
        <v>461</v>
      </c>
      <c r="M8" s="492"/>
      <c r="N8" s="493"/>
    </row>
    <row r="9" spans="1:14" s="494" customFormat="1" ht="31.5">
      <c r="A9" s="711"/>
      <c r="B9" s="714"/>
      <c r="C9" s="707"/>
      <c r="D9" s="709" t="s">
        <v>802</v>
      </c>
      <c r="E9" s="709" t="s">
        <v>456</v>
      </c>
      <c r="F9" s="496" t="s">
        <v>457</v>
      </c>
      <c r="G9" s="496"/>
      <c r="H9" s="496"/>
      <c r="I9" s="716" t="s">
        <v>458</v>
      </c>
      <c r="J9" s="716" t="s">
        <v>459</v>
      </c>
      <c r="K9" s="707"/>
      <c r="L9" s="707"/>
      <c r="M9" s="497" t="s">
        <v>801</v>
      </c>
      <c r="N9" s="493"/>
    </row>
    <row r="10" spans="1:14" s="494" customFormat="1" ht="31.5">
      <c r="A10" s="712"/>
      <c r="B10" s="715"/>
      <c r="C10" s="708"/>
      <c r="D10" s="709"/>
      <c r="E10" s="709"/>
      <c r="F10" s="495" t="s">
        <v>462</v>
      </c>
      <c r="G10" s="495" t="s">
        <v>463</v>
      </c>
      <c r="H10" s="495" t="s">
        <v>464</v>
      </c>
      <c r="I10" s="708"/>
      <c r="J10" s="708"/>
      <c r="K10" s="708"/>
      <c r="L10" s="708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100964</v>
      </c>
      <c r="D13" s="544">
        <f>'1-Баланс'!H20</f>
        <v>0</v>
      </c>
      <c r="E13" s="544">
        <f>'1-Баланс'!H21</f>
        <v>35744</v>
      </c>
      <c r="F13" s="544">
        <f>'1-Баланс'!H23</f>
        <v>51666</v>
      </c>
      <c r="G13" s="544">
        <f>'1-Баланс'!H24</f>
        <v>0</v>
      </c>
      <c r="H13" s="545"/>
      <c r="I13" s="544">
        <f>'1-Баланс'!H29+'1-Баланс'!H32</f>
        <v>281509</v>
      </c>
      <c r="J13" s="544">
        <f>'1-Баланс'!H30+'1-Баланс'!H33</f>
        <v>0</v>
      </c>
      <c r="K13" s="545"/>
      <c r="L13" s="544">
        <f>SUM(C13:K13)</f>
        <v>469883</v>
      </c>
      <c r="M13" s="546">
        <f>'1-Баланс'!H40</f>
        <v>33227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-2253</v>
      </c>
      <c r="M14" s="306">
        <f t="shared" si="0"/>
        <v>-695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>
        <v>-695</v>
      </c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100964</v>
      </c>
      <c r="D17" s="612">
        <f t="shared" ref="D17:M17" si="2">D13+D14</f>
        <v>0</v>
      </c>
      <c r="E17" s="612">
        <f t="shared" si="2"/>
        <v>35744</v>
      </c>
      <c r="F17" s="612">
        <f t="shared" si="2"/>
        <v>51666</v>
      </c>
      <c r="G17" s="612">
        <f t="shared" si="2"/>
        <v>0</v>
      </c>
      <c r="H17" s="612">
        <f t="shared" si="2"/>
        <v>0</v>
      </c>
      <c r="I17" s="612">
        <f t="shared" si="2"/>
        <v>279256</v>
      </c>
      <c r="J17" s="612">
        <f t="shared" si="2"/>
        <v>0</v>
      </c>
      <c r="K17" s="612">
        <f t="shared" si="2"/>
        <v>0</v>
      </c>
      <c r="L17" s="544">
        <f t="shared" si="1"/>
        <v>467630</v>
      </c>
      <c r="M17" s="613">
        <f t="shared" si="2"/>
        <v>32532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28343</v>
      </c>
      <c r="J18" s="544">
        <f>+'1-Баланс'!G33</f>
        <v>0</v>
      </c>
      <c r="K18" s="545"/>
      <c r="L18" s="544">
        <f t="shared" si="1"/>
        <v>28343</v>
      </c>
      <c r="M18" s="598">
        <v>2294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4301</v>
      </c>
      <c r="G19" s="159">
        <f t="shared" si="3"/>
        <v>0</v>
      </c>
      <c r="H19" s="159">
        <f t="shared" si="3"/>
        <v>0</v>
      </c>
      <c r="I19" s="159">
        <f t="shared" si="3"/>
        <v>-24407</v>
      </c>
      <c r="J19" s="159">
        <f>J20+J21</f>
        <v>0</v>
      </c>
      <c r="K19" s="159">
        <f t="shared" si="3"/>
        <v>0</v>
      </c>
      <c r="L19" s="544">
        <f t="shared" si="1"/>
        <v>-20106</v>
      </c>
      <c r="M19" s="306">
        <f>M20+M21</f>
        <v>-2716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f>-13822-6284</f>
        <v>-20106</v>
      </c>
      <c r="J20" s="307"/>
      <c r="K20" s="307"/>
      <c r="L20" s="544">
        <f>SUM(C20:K20)</f>
        <v>-20106</v>
      </c>
      <c r="M20" s="308">
        <v>-2716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>
        <v>4301</v>
      </c>
      <c r="G21" s="307"/>
      <c r="H21" s="307"/>
      <c r="I21" s="307">
        <v>-4301</v>
      </c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4">
        <f t="shared" si="1"/>
        <v>0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>
        <v>497</v>
      </c>
      <c r="D30" s="307"/>
      <c r="E30" s="307">
        <f>-3456+775-792-384+1144</f>
        <v>-2713</v>
      </c>
      <c r="F30" s="307"/>
      <c r="G30" s="307"/>
      <c r="H30" s="307"/>
      <c r="I30" s="307">
        <f>-1-734+142-1279-59+3840</f>
        <v>1909</v>
      </c>
      <c r="J30" s="307"/>
      <c r="K30" s="307"/>
      <c r="L30" s="544">
        <f t="shared" si="1"/>
        <v>-307</v>
      </c>
      <c r="M30" s="308">
        <f>-306+738+1303-385+146-637</f>
        <v>859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101461</v>
      </c>
      <c r="D31" s="612">
        <f t="shared" ref="D31:M31" si="6">D19+D22+D23+D26+D30+D29+D17+D18</f>
        <v>0</v>
      </c>
      <c r="E31" s="612">
        <f t="shared" si="6"/>
        <v>33031</v>
      </c>
      <c r="F31" s="612">
        <f t="shared" si="6"/>
        <v>55967</v>
      </c>
      <c r="G31" s="612">
        <f t="shared" si="6"/>
        <v>0</v>
      </c>
      <c r="H31" s="612">
        <f t="shared" si="6"/>
        <v>0</v>
      </c>
      <c r="I31" s="612">
        <f t="shared" si="6"/>
        <v>285101</v>
      </c>
      <c r="J31" s="612">
        <f t="shared" si="6"/>
        <v>0</v>
      </c>
      <c r="K31" s="612">
        <f t="shared" si="6"/>
        <v>0</v>
      </c>
      <c r="L31" s="544">
        <f t="shared" si="1"/>
        <v>475560</v>
      </c>
      <c r="M31" s="613">
        <f t="shared" si="6"/>
        <v>32969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t="shared" ref="C34:K34" si="7">C31+C32+C33</f>
        <v>101461</v>
      </c>
      <c r="D34" s="547">
        <f t="shared" si="7"/>
        <v>0</v>
      </c>
      <c r="E34" s="547">
        <f t="shared" si="7"/>
        <v>33031</v>
      </c>
      <c r="F34" s="547">
        <f t="shared" si="7"/>
        <v>55967</v>
      </c>
      <c r="G34" s="547">
        <f t="shared" si="7"/>
        <v>0</v>
      </c>
      <c r="H34" s="547">
        <f t="shared" si="7"/>
        <v>0</v>
      </c>
      <c r="I34" s="547">
        <f t="shared" si="7"/>
        <v>285101</v>
      </c>
      <c r="J34" s="547">
        <f t="shared" si="7"/>
        <v>0</v>
      </c>
      <c r="K34" s="547">
        <f t="shared" si="7"/>
        <v>0</v>
      </c>
      <c r="L34" s="610">
        <f t="shared" si="1"/>
        <v>475560</v>
      </c>
      <c r="M34" s="548">
        <f>M31+M32+M33</f>
        <v>32969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0">
        <f>pdeReportingDate</f>
        <v>43579</v>
      </c>
      <c r="C38" s="700"/>
      <c r="D38" s="700"/>
      <c r="E38" s="700"/>
      <c r="F38" s="700"/>
      <c r="G38" s="700"/>
      <c r="H38" s="700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1" t="str">
        <f>authorName</f>
        <v>Людмила Бонджова</v>
      </c>
      <c r="C41" s="701"/>
      <c r="D41" s="701"/>
      <c r="E41" s="701"/>
      <c r="F41" s="701"/>
      <c r="G41" s="701"/>
      <c r="H41" s="701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2"/>
      <c r="C44" s="702"/>
      <c r="D44" s="702"/>
      <c r="E44" s="702"/>
      <c r="F44" s="702"/>
      <c r="G44" s="702"/>
      <c r="H44" s="702"/>
      <c r="M44" s="160"/>
    </row>
    <row r="45" spans="1:14">
      <c r="A45" s="653"/>
      <c r="B45" s="703" t="str">
        <f>+Начална!B17</f>
        <v>Огнян Донев</v>
      </c>
      <c r="C45" s="699"/>
      <c r="D45" s="699"/>
      <c r="E45" s="699"/>
      <c r="F45" s="535"/>
      <c r="G45" s="44"/>
      <c r="H45" s="41"/>
      <c r="M45" s="160"/>
    </row>
    <row r="46" spans="1:14">
      <c r="A46" s="653"/>
      <c r="B46" s="699"/>
      <c r="C46" s="699"/>
      <c r="D46" s="699"/>
      <c r="E46" s="699"/>
      <c r="F46" s="535"/>
      <c r="G46" s="44"/>
      <c r="H46" s="41"/>
      <c r="M46" s="160"/>
    </row>
    <row r="47" spans="1:14">
      <c r="A47" s="653"/>
      <c r="B47" s="699"/>
      <c r="C47" s="699"/>
      <c r="D47" s="699"/>
      <c r="E47" s="699"/>
      <c r="F47" s="535"/>
      <c r="G47" s="44"/>
      <c r="H47" s="41"/>
      <c r="M47" s="160"/>
    </row>
    <row r="48" spans="1:14">
      <c r="A48" s="653"/>
      <c r="B48" s="699"/>
      <c r="C48" s="699"/>
      <c r="D48" s="699"/>
      <c r="E48" s="699"/>
      <c r="F48" s="535"/>
      <c r="G48" s="44"/>
      <c r="H48" s="41"/>
      <c r="M48" s="160"/>
    </row>
    <row r="49" spans="1:13">
      <c r="A49" s="653"/>
      <c r="B49" s="699"/>
      <c r="C49" s="699"/>
      <c r="D49" s="699"/>
      <c r="E49" s="699"/>
      <c r="F49" s="535"/>
      <c r="G49" s="44"/>
      <c r="H49" s="41"/>
      <c r="M49" s="160"/>
    </row>
    <row r="50" spans="1:13">
      <c r="A50" s="653"/>
      <c r="B50" s="699"/>
      <c r="C50" s="699"/>
      <c r="D50" s="699"/>
      <c r="E50" s="699"/>
      <c r="F50" s="535"/>
      <c r="G50" s="44"/>
      <c r="H50" s="41"/>
      <c r="M50" s="160"/>
    </row>
    <row r="51" spans="1:13">
      <c r="A51" s="653"/>
      <c r="B51" s="699"/>
      <c r="C51" s="699"/>
      <c r="D51" s="699"/>
      <c r="E51" s="699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17A0B690-90B4-478F-B629-540D801E18FD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F2D4D9F9-DE61-45A3-92A2-4E78F2B34B7F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35"/>
  <sheetViews>
    <sheetView zoomScale="80" zoomScaleNormal="85" zoomScaleSheetLayoutView="80" workbookViewId="0">
      <selection activeCell="M17" sqref="M17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19" customFormat="1" ht="66.75" customHeight="1">
      <c r="A8" s="723"/>
      <c r="B8" s="724"/>
      <c r="C8" s="72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8"/>
      <c r="R8" s="720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>
      <c r="A11" s="327" t="s">
        <v>521</v>
      </c>
      <c r="B11" s="312" t="s">
        <v>522</v>
      </c>
      <c r="C11" s="143" t="s">
        <v>523</v>
      </c>
      <c r="D11" s="319">
        <v>51968</v>
      </c>
      <c r="E11" s="319">
        <f>750+1+2+1751</f>
        <v>2504</v>
      </c>
      <c r="F11" s="319">
        <v>80</v>
      </c>
      <c r="G11" s="659">
        <f>D11+E11-F11</f>
        <v>54392</v>
      </c>
      <c r="H11" s="319"/>
      <c r="I11" s="319"/>
      <c r="J11" s="659">
        <f>G11+H11-I11</f>
        <v>54392</v>
      </c>
      <c r="K11" s="319"/>
      <c r="L11" s="663"/>
      <c r="M11" s="663"/>
      <c r="N11" s="659">
        <f>K11+L11-M11</f>
        <v>0</v>
      </c>
      <c r="O11" s="319"/>
      <c r="P11" s="319"/>
      <c r="Q11" s="659">
        <f t="shared" ref="Q11:Q27" si="0">N11+O11-P11</f>
        <v>0</v>
      </c>
      <c r="R11" s="686">
        <f t="shared" ref="R11:R27" si="1">J11-Q11</f>
        <v>54392</v>
      </c>
    </row>
    <row r="12" spans="1:18">
      <c r="A12" s="327" t="s">
        <v>524</v>
      </c>
      <c r="B12" s="312" t="s">
        <v>525</v>
      </c>
      <c r="C12" s="143" t="s">
        <v>526</v>
      </c>
      <c r="D12" s="319">
        <v>173634</v>
      </c>
      <c r="E12" s="319">
        <f>619+953+169+68+5421</f>
        <v>7230</v>
      </c>
      <c r="F12" s="319">
        <v>21</v>
      </c>
      <c r="G12" s="659">
        <f t="shared" ref="G12:G41" si="2">D12+E12-F12</f>
        <v>180843</v>
      </c>
      <c r="H12" s="319"/>
      <c r="I12" s="319"/>
      <c r="J12" s="659">
        <f t="shared" ref="J12:J41" si="3">G12+H12-I12</f>
        <v>180843</v>
      </c>
      <c r="K12" s="319">
        <v>44504</v>
      </c>
      <c r="L12" s="319">
        <f>6864+347</f>
        <v>7211</v>
      </c>
      <c r="M12" s="319">
        <f>55+2</f>
        <v>57</v>
      </c>
      <c r="N12" s="659">
        <f t="shared" ref="N12:N41" si="4">K12+L12-M12</f>
        <v>51658</v>
      </c>
      <c r="O12" s="319"/>
      <c r="P12" s="319"/>
      <c r="Q12" s="659">
        <f t="shared" si="0"/>
        <v>51658</v>
      </c>
      <c r="R12" s="686">
        <f t="shared" si="1"/>
        <v>129185</v>
      </c>
    </row>
    <row r="13" spans="1:18">
      <c r="A13" s="327" t="s">
        <v>527</v>
      </c>
      <c r="B13" s="312" t="s">
        <v>528</v>
      </c>
      <c r="C13" s="143" t="s">
        <v>529</v>
      </c>
      <c r="D13" s="319">
        <v>214038</v>
      </c>
      <c r="E13" s="319">
        <f>3550+90+92+4601-1247</f>
        <v>7086</v>
      </c>
      <c r="F13" s="319">
        <f>2102</f>
        <v>2102</v>
      </c>
      <c r="G13" s="659">
        <f t="shared" si="2"/>
        <v>219022</v>
      </c>
      <c r="H13" s="319"/>
      <c r="I13" s="319"/>
      <c r="J13" s="659">
        <f t="shared" si="3"/>
        <v>219022</v>
      </c>
      <c r="K13" s="319">
        <v>113170</v>
      </c>
      <c r="L13" s="319">
        <f>12902-42-3</f>
        <v>12857</v>
      </c>
      <c r="M13" s="319">
        <f>63+1865-3</f>
        <v>1925</v>
      </c>
      <c r="N13" s="659">
        <f t="shared" si="4"/>
        <v>124102</v>
      </c>
      <c r="O13" s="319"/>
      <c r="P13" s="319"/>
      <c r="Q13" s="659">
        <f t="shared" si="0"/>
        <v>124102</v>
      </c>
      <c r="R13" s="686">
        <f t="shared" si="1"/>
        <v>94920</v>
      </c>
    </row>
    <row r="14" spans="1:18">
      <c r="A14" s="327" t="s">
        <v>530</v>
      </c>
      <c r="B14" s="312" t="s">
        <v>531</v>
      </c>
      <c r="C14" s="143" t="s">
        <v>532</v>
      </c>
      <c r="D14" s="319">
        <v>16926</v>
      </c>
      <c r="E14" s="319">
        <f>193+1524+5+13+275</f>
        <v>2010</v>
      </c>
      <c r="F14" s="319">
        <v>33</v>
      </c>
      <c r="G14" s="659">
        <f t="shared" si="2"/>
        <v>18903</v>
      </c>
      <c r="H14" s="319"/>
      <c r="I14" s="319"/>
      <c r="J14" s="659">
        <f t="shared" si="3"/>
        <v>18903</v>
      </c>
      <c r="K14" s="319">
        <v>4756</v>
      </c>
      <c r="L14" s="319">
        <f>1095+523+3</f>
        <v>1621</v>
      </c>
      <c r="M14" s="319">
        <f>2-5+3</f>
        <v>0</v>
      </c>
      <c r="N14" s="659">
        <f t="shared" si="4"/>
        <v>6377</v>
      </c>
      <c r="O14" s="319"/>
      <c r="P14" s="319"/>
      <c r="Q14" s="659">
        <f>N14+O14-P14</f>
        <v>6377</v>
      </c>
      <c r="R14" s="686">
        <f t="shared" si="1"/>
        <v>12526</v>
      </c>
    </row>
    <row r="15" spans="1:18">
      <c r="A15" s="327" t="s">
        <v>533</v>
      </c>
      <c r="B15" s="312" t="s">
        <v>534</v>
      </c>
      <c r="C15" s="143" t="s">
        <v>535</v>
      </c>
      <c r="D15" s="319">
        <v>20996</v>
      </c>
      <c r="E15" s="319">
        <f>3084+170-19</f>
        <v>3235</v>
      </c>
      <c r="F15" s="319">
        <f>6+3696</f>
        <v>3702</v>
      </c>
      <c r="G15" s="659">
        <f t="shared" si="2"/>
        <v>20529</v>
      </c>
      <c r="H15" s="319"/>
      <c r="I15" s="319"/>
      <c r="J15" s="659">
        <f t="shared" si="3"/>
        <v>20529</v>
      </c>
      <c r="K15" s="319">
        <v>13364</v>
      </c>
      <c r="L15" s="319">
        <f>2560+159</f>
        <v>2719</v>
      </c>
      <c r="M15" s="319">
        <f>2+3315</f>
        <v>3317</v>
      </c>
      <c r="N15" s="659">
        <f t="shared" si="4"/>
        <v>12766</v>
      </c>
      <c r="O15" s="319"/>
      <c r="P15" s="319"/>
      <c r="Q15" s="659">
        <f t="shared" si="0"/>
        <v>12766</v>
      </c>
      <c r="R15" s="686">
        <f t="shared" si="1"/>
        <v>7763</v>
      </c>
    </row>
    <row r="16" spans="1:18">
      <c r="A16" s="344" t="s">
        <v>814</v>
      </c>
      <c r="B16" s="312" t="s">
        <v>536</v>
      </c>
      <c r="C16" s="143" t="s">
        <v>537</v>
      </c>
      <c r="D16" s="319">
        <v>20843</v>
      </c>
      <c r="E16" s="319">
        <f>4112+21+1288-1569</f>
        <v>3852</v>
      </c>
      <c r="F16" s="319">
        <f>24+472</f>
        <v>496</v>
      </c>
      <c r="G16" s="659">
        <f t="shared" si="2"/>
        <v>24199</v>
      </c>
      <c r="H16" s="319"/>
      <c r="I16" s="319"/>
      <c r="J16" s="659">
        <f>G16+H16-I16</f>
        <v>24199</v>
      </c>
      <c r="K16" s="319">
        <v>14094</v>
      </c>
      <c r="L16" s="319">
        <f>2085-1155+168</f>
        <v>1098</v>
      </c>
      <c r="M16" s="319">
        <f>2+197+168</f>
        <v>367</v>
      </c>
      <c r="N16" s="659">
        <f t="shared" si="4"/>
        <v>14825</v>
      </c>
      <c r="O16" s="319"/>
      <c r="P16" s="319"/>
      <c r="Q16" s="659">
        <f t="shared" si="0"/>
        <v>14825</v>
      </c>
      <c r="R16" s="686">
        <f t="shared" si="1"/>
        <v>9374</v>
      </c>
    </row>
    <row r="17" spans="1:19" s="145" customFormat="1" ht="31.5">
      <c r="A17" s="327" t="s">
        <v>538</v>
      </c>
      <c r="B17" s="146" t="s">
        <v>539</v>
      </c>
      <c r="C17" s="144" t="s">
        <v>540</v>
      </c>
      <c r="D17" s="319">
        <v>9103</v>
      </c>
      <c r="E17" s="319">
        <f>20751+14</f>
        <v>20765</v>
      </c>
      <c r="F17" s="319">
        <f>13317</f>
        <v>13317</v>
      </c>
      <c r="G17" s="659">
        <f t="shared" si="2"/>
        <v>16551</v>
      </c>
      <c r="H17" s="319"/>
      <c r="I17" s="319">
        <v>186</v>
      </c>
      <c r="J17" s="659">
        <f t="shared" si="3"/>
        <v>16365</v>
      </c>
      <c r="K17" s="319"/>
      <c r="L17" s="663"/>
      <c r="M17" s="663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16365</v>
      </c>
    </row>
    <row r="18" spans="1:19">
      <c r="A18" s="327" t="s">
        <v>541</v>
      </c>
      <c r="B18" s="146" t="s">
        <v>542</v>
      </c>
      <c r="C18" s="143" t="s">
        <v>543</v>
      </c>
      <c r="D18" s="319"/>
      <c r="E18" s="319"/>
      <c r="F18" s="319"/>
      <c r="G18" s="659">
        <f t="shared" si="2"/>
        <v>0</v>
      </c>
      <c r="H18" s="319"/>
      <c r="I18" s="319"/>
      <c r="J18" s="659">
        <f t="shared" si="3"/>
        <v>0</v>
      </c>
      <c r="K18" s="319"/>
      <c r="L18" s="663"/>
      <c r="M18" s="663"/>
      <c r="N18" s="659">
        <f t="shared" si="4"/>
        <v>0</v>
      </c>
      <c r="O18" s="319"/>
      <c r="P18" s="319"/>
      <c r="Q18" s="659">
        <f t="shared" si="0"/>
        <v>0</v>
      </c>
      <c r="R18" s="686">
        <f t="shared" si="1"/>
        <v>0</v>
      </c>
    </row>
    <row r="19" spans="1:19">
      <c r="A19" s="327"/>
      <c r="B19" s="313" t="s">
        <v>544</v>
      </c>
      <c r="C19" s="147" t="s">
        <v>545</v>
      </c>
      <c r="D19" s="693">
        <f>SUM(D11:D18)</f>
        <v>507508</v>
      </c>
      <c r="E19" s="693">
        <f>SUM(E11:E18)</f>
        <v>46682</v>
      </c>
      <c r="F19" s="693">
        <f>SUM(F11:F18)</f>
        <v>19751</v>
      </c>
      <c r="G19" s="677">
        <f t="shared" si="2"/>
        <v>534439</v>
      </c>
      <c r="H19" s="678">
        <f>SUM(H11:H18)</f>
        <v>0</v>
      </c>
      <c r="I19" s="678">
        <f>SUM(I11:I18)</f>
        <v>186</v>
      </c>
      <c r="J19" s="684">
        <f t="shared" si="3"/>
        <v>534253</v>
      </c>
      <c r="K19" s="678">
        <f>SUM(K11:K18)</f>
        <v>189888</v>
      </c>
      <c r="L19" s="678">
        <f>SUM(L11:L18)</f>
        <v>25506</v>
      </c>
      <c r="M19" s="678">
        <f>SUM(M11:M18)</f>
        <v>5666</v>
      </c>
      <c r="N19" s="684">
        <f t="shared" si="4"/>
        <v>209728</v>
      </c>
      <c r="O19" s="678">
        <f>SUM(O11:O18)</f>
        <v>0</v>
      </c>
      <c r="P19" s="678">
        <f>SUM(P11:P18)</f>
        <v>0</v>
      </c>
      <c r="Q19" s="684">
        <f t="shared" si="0"/>
        <v>209728</v>
      </c>
      <c r="R19" s="687">
        <f t="shared" si="1"/>
        <v>324525</v>
      </c>
      <c r="S19" s="676"/>
    </row>
    <row r="20" spans="1:19">
      <c r="A20" s="328" t="s">
        <v>816</v>
      </c>
      <c r="B20" s="314" t="s">
        <v>546</v>
      </c>
      <c r="C20" s="147" t="s">
        <v>547</v>
      </c>
      <c r="D20" s="319">
        <v>9811</v>
      </c>
      <c r="E20" s="319">
        <v>143</v>
      </c>
      <c r="F20" s="319">
        <v>140</v>
      </c>
      <c r="G20" s="659">
        <f t="shared" si="2"/>
        <v>9814</v>
      </c>
      <c r="H20" s="319">
        <v>613</v>
      </c>
      <c r="I20" s="319"/>
      <c r="J20" s="659">
        <f t="shared" si="3"/>
        <v>10427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10427</v>
      </c>
    </row>
    <row r="21" spans="1:19">
      <c r="A21" s="326" t="s">
        <v>805</v>
      </c>
      <c r="B21" s="314" t="s">
        <v>548</v>
      </c>
      <c r="C21" s="147" t="s">
        <v>549</v>
      </c>
      <c r="D21" s="319"/>
      <c r="E21" s="319"/>
      <c r="F21" s="319"/>
      <c r="G21" s="659">
        <f t="shared" si="2"/>
        <v>0</v>
      </c>
      <c r="H21" s="319"/>
      <c r="I21" s="319"/>
      <c r="J21" s="659">
        <f t="shared" si="3"/>
        <v>0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0</v>
      </c>
    </row>
    <row r="22" spans="1:19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9">
      <c r="A23" s="327" t="s">
        <v>521</v>
      </c>
      <c r="B23" s="312" t="s">
        <v>552</v>
      </c>
      <c r="C23" s="143" t="s">
        <v>553</v>
      </c>
      <c r="D23" s="319">
        <v>62664</v>
      </c>
      <c r="E23" s="663">
        <f>2211+4184+55</f>
        <v>6450</v>
      </c>
      <c r="F23" s="663">
        <f>724+52</f>
        <v>776</v>
      </c>
      <c r="G23" s="659">
        <f t="shared" si="2"/>
        <v>68338</v>
      </c>
      <c r="H23" s="319"/>
      <c r="I23" s="319"/>
      <c r="J23" s="659">
        <f t="shared" si="3"/>
        <v>68338</v>
      </c>
      <c r="K23" s="319">
        <v>12289</v>
      </c>
      <c r="L23" s="663">
        <f>6235+87</f>
        <v>6322</v>
      </c>
      <c r="M23" s="663">
        <v>41</v>
      </c>
      <c r="N23" s="659">
        <f t="shared" si="4"/>
        <v>18570</v>
      </c>
      <c r="O23" s="319"/>
      <c r="P23" s="319"/>
      <c r="Q23" s="659">
        <f t="shared" si="0"/>
        <v>18570</v>
      </c>
      <c r="R23" s="686">
        <f t="shared" si="1"/>
        <v>49768</v>
      </c>
    </row>
    <row r="24" spans="1:19">
      <c r="A24" s="327" t="s">
        <v>524</v>
      </c>
      <c r="B24" s="312" t="s">
        <v>554</v>
      </c>
      <c r="C24" s="143" t="s">
        <v>555</v>
      </c>
      <c r="D24" s="319">
        <v>17811</v>
      </c>
      <c r="E24" s="319">
        <f>430+420</f>
        <v>850</v>
      </c>
      <c r="F24" s="319">
        <f>19+29</f>
        <v>48</v>
      </c>
      <c r="G24" s="659">
        <f t="shared" si="2"/>
        <v>18613</v>
      </c>
      <c r="H24" s="319"/>
      <c r="I24" s="319"/>
      <c r="J24" s="659">
        <f t="shared" si="3"/>
        <v>18613</v>
      </c>
      <c r="K24" s="319">
        <v>7938</v>
      </c>
      <c r="L24" s="319">
        <f>1610+7</f>
        <v>1617</v>
      </c>
      <c r="M24" s="319">
        <v>31</v>
      </c>
      <c r="N24" s="659">
        <f t="shared" si="4"/>
        <v>9524</v>
      </c>
      <c r="O24" s="319"/>
      <c r="P24" s="319"/>
      <c r="Q24" s="659">
        <f t="shared" si="0"/>
        <v>9524</v>
      </c>
      <c r="R24" s="686">
        <f t="shared" si="1"/>
        <v>9089</v>
      </c>
    </row>
    <row r="25" spans="1:19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9">
      <c r="A26" s="327" t="s">
        <v>530</v>
      </c>
      <c r="B26" s="148" t="s">
        <v>542</v>
      </c>
      <c r="C26" s="143" t="s">
        <v>558</v>
      </c>
      <c r="D26" s="319">
        <v>5483</v>
      </c>
      <c r="E26" s="663">
        <f>880+2</f>
        <v>882</v>
      </c>
      <c r="F26" s="663">
        <f>1+475+206+24</f>
        <v>706</v>
      </c>
      <c r="G26" s="659">
        <f t="shared" si="2"/>
        <v>5659</v>
      </c>
      <c r="H26" s="319"/>
      <c r="I26" s="319"/>
      <c r="J26" s="659">
        <f t="shared" si="3"/>
        <v>5659</v>
      </c>
      <c r="K26" s="319">
        <v>2282</v>
      </c>
      <c r="L26" s="663">
        <v>39</v>
      </c>
      <c r="M26" s="663"/>
      <c r="N26" s="659">
        <f t="shared" si="4"/>
        <v>2321</v>
      </c>
      <c r="O26" s="319"/>
      <c r="P26" s="319"/>
      <c r="Q26" s="659">
        <f t="shared" si="0"/>
        <v>2321</v>
      </c>
      <c r="R26" s="686">
        <f t="shared" si="1"/>
        <v>3338</v>
      </c>
    </row>
    <row r="27" spans="1:19">
      <c r="A27" s="327"/>
      <c r="B27" s="313" t="s">
        <v>559</v>
      </c>
      <c r="C27" s="149" t="s">
        <v>560</v>
      </c>
      <c r="D27" s="680">
        <f>SUM(D23:D26)</f>
        <v>85958</v>
      </c>
      <c r="E27" s="680">
        <f t="shared" ref="E27:P27" si="5">SUM(E23:E26)</f>
        <v>8182</v>
      </c>
      <c r="F27" s="680">
        <f t="shared" si="5"/>
        <v>1530</v>
      </c>
      <c r="G27" s="685">
        <f t="shared" si="2"/>
        <v>92610</v>
      </c>
      <c r="H27" s="680">
        <f t="shared" si="5"/>
        <v>0</v>
      </c>
      <c r="I27" s="680">
        <f t="shared" si="5"/>
        <v>0</v>
      </c>
      <c r="J27" s="685">
        <f t="shared" si="3"/>
        <v>92610</v>
      </c>
      <c r="K27" s="680">
        <f t="shared" si="5"/>
        <v>22509</v>
      </c>
      <c r="L27" s="680">
        <f t="shared" si="5"/>
        <v>7978</v>
      </c>
      <c r="M27" s="680">
        <f t="shared" si="5"/>
        <v>72</v>
      </c>
      <c r="N27" s="685">
        <f t="shared" si="4"/>
        <v>30415</v>
      </c>
      <c r="O27" s="680">
        <f t="shared" si="5"/>
        <v>0</v>
      </c>
      <c r="P27" s="680">
        <f t="shared" si="5"/>
        <v>0</v>
      </c>
      <c r="Q27" s="685">
        <f t="shared" si="0"/>
        <v>30415</v>
      </c>
      <c r="R27" s="688">
        <f t="shared" si="1"/>
        <v>62195</v>
      </c>
      <c r="S27" s="676"/>
    </row>
    <row r="28" spans="1:19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>
      <c r="A29" s="327" t="s">
        <v>521</v>
      </c>
      <c r="B29" s="317" t="s">
        <v>561</v>
      </c>
      <c r="C29" s="151" t="s">
        <v>562</v>
      </c>
      <c r="D29" s="324">
        <f>SUM(D30:D33)</f>
        <v>27518</v>
      </c>
      <c r="E29" s="324">
        <f t="shared" ref="E29:P29" si="6">SUM(E30:E33)</f>
        <v>4606</v>
      </c>
      <c r="F29" s="324">
        <f t="shared" si="6"/>
        <v>3007</v>
      </c>
      <c r="G29" s="682">
        <f t="shared" si="2"/>
        <v>29117</v>
      </c>
      <c r="H29" s="683">
        <f t="shared" si="6"/>
        <v>0</v>
      </c>
      <c r="I29" s="683">
        <f t="shared" si="6"/>
        <v>136</v>
      </c>
      <c r="J29" s="682">
        <f t="shared" si="3"/>
        <v>28981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28981</v>
      </c>
      <c r="S29" s="676"/>
    </row>
    <row r="30" spans="1:19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</row>
    <row r="31" spans="1:19">
      <c r="A31" s="327"/>
      <c r="B31" s="312" t="s">
        <v>110</v>
      </c>
      <c r="C31" s="143" t="s">
        <v>564</v>
      </c>
      <c r="D31" s="319">
        <v>1414</v>
      </c>
      <c r="E31" s="663"/>
      <c r="F31" s="663">
        <v>1370</v>
      </c>
      <c r="G31" s="659">
        <f t="shared" si="2"/>
        <v>44</v>
      </c>
      <c r="H31" s="319"/>
      <c r="I31" s="319"/>
      <c r="J31" s="659">
        <f t="shared" si="3"/>
        <v>44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44</v>
      </c>
    </row>
    <row r="32" spans="1:19">
      <c r="A32" s="327"/>
      <c r="B32" s="312" t="s">
        <v>113</v>
      </c>
      <c r="C32" s="143" t="s">
        <v>565</v>
      </c>
      <c r="D32" s="319">
        <v>18122</v>
      </c>
      <c r="E32" s="663">
        <v>2222</v>
      </c>
      <c r="F32" s="663">
        <v>5</v>
      </c>
      <c r="G32" s="659">
        <f t="shared" si="2"/>
        <v>20339</v>
      </c>
      <c r="H32" s="319"/>
      <c r="I32" s="319"/>
      <c r="J32" s="659">
        <f t="shared" si="3"/>
        <v>20339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20339</v>
      </c>
    </row>
    <row r="33" spans="1:19">
      <c r="A33" s="327"/>
      <c r="B33" s="312" t="s">
        <v>115</v>
      </c>
      <c r="C33" s="143" t="s">
        <v>566</v>
      </c>
      <c r="D33" s="319">
        <v>7982</v>
      </c>
      <c r="E33" s="663">
        <v>2384</v>
      </c>
      <c r="F33" s="663">
        <f>976+692-36</f>
        <v>1632</v>
      </c>
      <c r="G33" s="659">
        <f t="shared" si="2"/>
        <v>8734</v>
      </c>
      <c r="H33" s="319"/>
      <c r="I33" s="319">
        <f>792-692+36</f>
        <v>136</v>
      </c>
      <c r="J33" s="659">
        <f t="shared" si="3"/>
        <v>8598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8598</v>
      </c>
    </row>
    <row r="34" spans="1:19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9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9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9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9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9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9">
      <c r="A40" s="327"/>
      <c r="B40" s="313" t="s">
        <v>577</v>
      </c>
      <c r="C40" s="147" t="s">
        <v>578</v>
      </c>
      <c r="D40" s="678">
        <f>D29+D34+D39</f>
        <v>27518</v>
      </c>
      <c r="E40" s="678">
        <f t="shared" ref="E40:P40" si="10">E29+E34+E39</f>
        <v>4606</v>
      </c>
      <c r="F40" s="678">
        <f t="shared" si="10"/>
        <v>3007</v>
      </c>
      <c r="G40" s="684">
        <f t="shared" si="2"/>
        <v>29117</v>
      </c>
      <c r="H40" s="321">
        <f t="shared" si="10"/>
        <v>0</v>
      </c>
      <c r="I40" s="321">
        <f t="shared" si="10"/>
        <v>136</v>
      </c>
      <c r="J40" s="694">
        <f t="shared" si="3"/>
        <v>28981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28981</v>
      </c>
    </row>
    <row r="41" spans="1:19">
      <c r="A41" s="328" t="s">
        <v>579</v>
      </c>
      <c r="B41" s="318" t="s">
        <v>580</v>
      </c>
      <c r="C41" s="147" t="s">
        <v>581</v>
      </c>
      <c r="D41" s="319">
        <v>33284</v>
      </c>
      <c r="E41" s="663">
        <f>20+349</f>
        <v>369</v>
      </c>
      <c r="F41" s="663"/>
      <c r="G41" s="659">
        <f t="shared" si="2"/>
        <v>33653</v>
      </c>
      <c r="H41" s="319"/>
      <c r="I41" s="319"/>
      <c r="J41" s="659">
        <f t="shared" si="3"/>
        <v>33653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23516</v>
      </c>
      <c r="S41" s="676"/>
    </row>
    <row r="42" spans="1:19" ht="16.5" thickBot="1">
      <c r="A42" s="330"/>
      <c r="B42" s="331" t="s">
        <v>582</v>
      </c>
      <c r="C42" s="332" t="s">
        <v>583</v>
      </c>
      <c r="D42" s="692">
        <f>D19+D20+D21+D27+D40+D41</f>
        <v>664079</v>
      </c>
      <c r="E42" s="692">
        <f>E19+E20+E21+E27+E40+E41</f>
        <v>59982</v>
      </c>
      <c r="F42" s="692">
        <f t="shared" ref="F42:R42" si="11">F19+F20+F21+F27+F40+F41</f>
        <v>24428</v>
      </c>
      <c r="G42" s="692">
        <f t="shared" si="11"/>
        <v>699633</v>
      </c>
      <c r="H42" s="333">
        <f t="shared" si="11"/>
        <v>613</v>
      </c>
      <c r="I42" s="333">
        <f t="shared" si="11"/>
        <v>322</v>
      </c>
      <c r="J42" s="692">
        <f t="shared" si="11"/>
        <v>699924</v>
      </c>
      <c r="K42" s="692">
        <f t="shared" si="11"/>
        <v>222534</v>
      </c>
      <c r="L42" s="692">
        <f t="shared" si="11"/>
        <v>33484</v>
      </c>
      <c r="M42" s="692">
        <f t="shared" si="11"/>
        <v>5738</v>
      </c>
      <c r="N42" s="692">
        <f t="shared" si="11"/>
        <v>250280</v>
      </c>
      <c r="O42" s="692">
        <f t="shared" si="11"/>
        <v>0</v>
      </c>
      <c r="P42" s="692">
        <f t="shared" si="11"/>
        <v>0</v>
      </c>
      <c r="Q42" s="692">
        <f t="shared" si="11"/>
        <v>250280</v>
      </c>
      <c r="R42" s="691">
        <f t="shared" si="11"/>
        <v>449644</v>
      </c>
    </row>
    <row r="43" spans="1:19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9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9">
      <c r="A45" s="483"/>
      <c r="B45" s="651" t="s">
        <v>950</v>
      </c>
      <c r="C45" s="700">
        <f>pdeReportingDate</f>
        <v>43579</v>
      </c>
      <c r="D45" s="700"/>
      <c r="E45" s="700"/>
      <c r="F45" s="700"/>
      <c r="G45" s="700"/>
      <c r="H45" s="700"/>
      <c r="I45" s="700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9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9">
      <c r="B47" s="651"/>
      <c r="C47" s="51"/>
      <c r="D47" s="51"/>
      <c r="E47" s="51"/>
      <c r="F47" s="51"/>
      <c r="G47" s="51"/>
      <c r="H47" s="51"/>
      <c r="I47" s="51"/>
    </row>
    <row r="48" spans="1:19">
      <c r="B48" s="652" t="s">
        <v>8</v>
      </c>
      <c r="C48" s="701" t="str">
        <f>authorName</f>
        <v>Людмила Бонджова</v>
      </c>
      <c r="D48" s="701"/>
      <c r="E48" s="701"/>
      <c r="F48" s="701"/>
      <c r="G48" s="701"/>
      <c r="H48" s="701"/>
      <c r="I48" s="701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2"/>
      <c r="D51" s="702"/>
      <c r="E51" s="702"/>
      <c r="F51" s="702"/>
      <c r="G51" s="702"/>
      <c r="H51" s="702"/>
      <c r="I51" s="702"/>
    </row>
    <row r="52" spans="2:9">
      <c r="B52" s="653"/>
      <c r="C52" s="703" t="str">
        <f>+Начална!B17</f>
        <v>Огнян Донев</v>
      </c>
      <c r="D52" s="699"/>
      <c r="E52" s="699"/>
      <c r="F52" s="699"/>
      <c r="G52" s="535"/>
      <c r="H52" s="44"/>
      <c r="I52" s="41"/>
    </row>
    <row r="53" spans="2:9">
      <c r="B53" s="653"/>
      <c r="C53" s="699"/>
      <c r="D53" s="699"/>
      <c r="E53" s="699"/>
      <c r="F53" s="699"/>
      <c r="G53" s="535"/>
      <c r="H53" s="44"/>
      <c r="I53" s="41"/>
    </row>
    <row r="54" spans="2:9">
      <c r="B54" s="653"/>
      <c r="C54" s="699"/>
      <c r="D54" s="699"/>
      <c r="E54" s="699"/>
      <c r="F54" s="699"/>
      <c r="G54" s="535"/>
      <c r="H54" s="44"/>
      <c r="I54" s="41"/>
    </row>
    <row r="55" spans="2:9">
      <c r="B55" s="653"/>
      <c r="C55" s="699"/>
      <c r="D55" s="699"/>
      <c r="E55" s="699"/>
      <c r="F55" s="699"/>
      <c r="G55" s="535"/>
      <c r="H55" s="44"/>
      <c r="I55" s="41"/>
    </row>
    <row r="56" spans="2:9">
      <c r="B56" s="653"/>
      <c r="C56" s="699"/>
      <c r="D56" s="699"/>
      <c r="E56" s="699"/>
      <c r="F56" s="699"/>
      <c r="G56" s="535"/>
      <c r="H56" s="44"/>
      <c r="I56" s="41"/>
    </row>
    <row r="57" spans="2:9">
      <c r="B57" s="653"/>
      <c r="C57" s="699"/>
      <c r="D57" s="699"/>
      <c r="E57" s="699"/>
      <c r="F57" s="699"/>
      <c r="G57" s="535"/>
      <c r="H57" s="44"/>
      <c r="I57" s="41"/>
    </row>
    <row r="58" spans="2:9">
      <c r="B58" s="653"/>
      <c r="C58" s="699"/>
      <c r="D58" s="699"/>
      <c r="E58" s="699"/>
      <c r="F58" s="699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17A0B690-90B4-478F-B629-540D801E18FD}" scale="80" fitToPage="1" topLeftCell="C4">
      <selection activeCell="L26" activeCellId="1" sqref="L23 L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F2D4D9F9-DE61-45A3-92A2-4E78F2B34B7F}" scale="80" showPageBreaks="1" fitToPage="1" printArea="1">
      <selection activeCell="V16" sqref="V1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3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4"/>
  <sheetViews>
    <sheetView zoomScale="70" zoomScaleNormal="85" zoomScaleSheetLayoutView="70" workbookViewId="0">
      <selection activeCell="D96" sqref="D96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31.12.2018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18"/>
    </row>
    <row r="9" spans="1:6" s="119" customFormat="1">
      <c r="A9" s="731"/>
      <c r="B9" s="733"/>
      <c r="C9" s="729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23055</v>
      </c>
      <c r="D13" s="345">
        <f>SUM(D14:D16)</f>
        <v>0</v>
      </c>
      <c r="E13" s="352">
        <f>SUM(E14:E16)</f>
        <v>23055</v>
      </c>
      <c r="F13" s="124"/>
    </row>
    <row r="14" spans="1:6">
      <c r="A14" s="353" t="s">
        <v>596</v>
      </c>
      <c r="B14" s="126" t="s">
        <v>597</v>
      </c>
      <c r="C14" s="351">
        <v>22861</v>
      </c>
      <c r="D14" s="351"/>
      <c r="E14" s="352">
        <f t="shared" ref="E14:E44" si="0">C14-D14</f>
        <v>22861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194</v>
      </c>
      <c r="D16" s="351"/>
      <c r="E16" s="352">
        <f t="shared" si="0"/>
        <v>194</v>
      </c>
      <c r="F16" s="124"/>
    </row>
    <row r="17" spans="1:6">
      <c r="A17" s="353" t="s">
        <v>602</v>
      </c>
      <c r="B17" s="126" t="s">
        <v>603</v>
      </c>
      <c r="C17" s="351">
        <v>2570</v>
      </c>
      <c r="D17" s="351"/>
      <c r="E17" s="352">
        <f t="shared" si="0"/>
        <v>2570</v>
      </c>
      <c r="F17" s="124"/>
    </row>
    <row r="18" spans="1:6">
      <c r="A18" s="353" t="s">
        <v>604</v>
      </c>
      <c r="B18" s="126" t="s">
        <v>605</v>
      </c>
      <c r="C18" s="345">
        <f>+C19+C20</f>
        <v>3829</v>
      </c>
      <c r="D18" s="345">
        <f>+D19+D20</f>
        <v>0</v>
      </c>
      <c r="E18" s="352">
        <f t="shared" si="0"/>
        <v>3829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>
        <f>3094+374+361</f>
        <v>3829</v>
      </c>
      <c r="D20" s="351"/>
      <c r="E20" s="352">
        <f t="shared" si="0"/>
        <v>3829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29454</v>
      </c>
      <c r="D21" s="423">
        <f>D13+D17+D18</f>
        <v>0</v>
      </c>
      <c r="E21" s="424">
        <f>E13+E17+E18</f>
        <v>29454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1590</v>
      </c>
      <c r="D23" s="426"/>
      <c r="E23" s="425">
        <f t="shared" si="0"/>
        <v>1590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9942</v>
      </c>
      <c r="D26" s="345">
        <f>SUM(D27:D29)</f>
        <v>9942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8566</v>
      </c>
      <c r="D27" s="351">
        <v>8566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1376</v>
      </c>
      <c r="D28" s="351">
        <v>1376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224514</v>
      </c>
      <c r="D30" s="351">
        <v>224514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11397</v>
      </c>
      <c r="D31" s="351">
        <v>11397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3303</v>
      </c>
      <c r="D32" s="351">
        <v>3303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5804</v>
      </c>
      <c r="D33" s="351">
        <v>5804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9866</v>
      </c>
      <c r="D35" s="345">
        <f>SUM(D36:D39)</f>
        <v>9866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1045</v>
      </c>
      <c r="D36" s="351">
        <v>1045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3908</v>
      </c>
      <c r="D37" s="351">
        <v>3908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f>4905+8</f>
        <v>4913</v>
      </c>
      <c r="D39" s="351">
        <v>4913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1929</v>
      </c>
      <c r="D40" s="345">
        <f>SUM(D41:D44)</f>
        <v>1929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1929</v>
      </c>
      <c r="D44" s="351">
        <v>1929</v>
      </c>
      <c r="E44" s="352">
        <f t="shared" si="0"/>
        <v>0</v>
      </c>
      <c r="F44" s="124"/>
    </row>
    <row r="45" spans="1:27" ht="16.5" thickBot="1">
      <c r="A45" s="374" t="s">
        <v>653</v>
      </c>
      <c r="B45" s="375" t="s">
        <v>654</v>
      </c>
      <c r="C45" s="421">
        <f>C26+C30+C31+C33+C32+C34+C35+C40</f>
        <v>266755</v>
      </c>
      <c r="D45" s="421">
        <f>D26+D30+D31+D33+D32+D34+D35+D40</f>
        <v>266755</v>
      </c>
      <c r="E45" s="422">
        <f>E26+E30+E31+E33+E32+E34+E35+E40</f>
        <v>0</v>
      </c>
      <c r="F45" s="124"/>
    </row>
    <row r="46" spans="1:27" ht="16.5" thickBot="1">
      <c r="A46" s="376" t="s">
        <v>655</v>
      </c>
      <c r="B46" s="377" t="s">
        <v>656</v>
      </c>
      <c r="C46" s="427">
        <f>C45+C23+C21+C11</f>
        <v>297799</v>
      </c>
      <c r="D46" s="427">
        <f>D45+D23+D21+D11</f>
        <v>266755</v>
      </c>
      <c r="E46" s="428">
        <f>E45+E23+E21+E11</f>
        <v>31044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19" customFormat="1" ht="18" customHeight="1">
      <c r="A51" s="731"/>
      <c r="B51" s="733"/>
      <c r="C51" s="735"/>
      <c r="D51" s="121" t="s">
        <v>589</v>
      </c>
      <c r="E51" s="121" t="s">
        <v>590</v>
      </c>
      <c r="F51" s="737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3" t="s">
        <v>669</v>
      </c>
      <c r="B58" s="126" t="s">
        <v>670</v>
      </c>
      <c r="C58" s="129">
        <f>C59+C61</f>
        <v>41124</v>
      </c>
      <c r="D58" s="129">
        <f>D59+D61</f>
        <v>0</v>
      </c>
      <c r="E58" s="127">
        <f t="shared" si="1"/>
        <v>41124</v>
      </c>
      <c r="F58" s="381">
        <f>F59+F61</f>
        <v>0</v>
      </c>
    </row>
    <row r="59" spans="1:6">
      <c r="A59" s="353" t="s">
        <v>671</v>
      </c>
      <c r="B59" s="126" t="s">
        <v>672</v>
      </c>
      <c r="C59" s="188">
        <v>41124</v>
      </c>
      <c r="D59" s="188"/>
      <c r="E59" s="127">
        <f t="shared" si="1"/>
        <v>41124</v>
      </c>
      <c r="F59" s="187"/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2785</v>
      </c>
      <c r="D66" s="188"/>
      <c r="E66" s="127">
        <f t="shared" si="1"/>
        <v>2785</v>
      </c>
      <c r="F66" s="187"/>
    </row>
    <row r="67" spans="1:6">
      <c r="A67" s="353" t="s">
        <v>684</v>
      </c>
      <c r="B67" s="126" t="s">
        <v>685</v>
      </c>
      <c r="C67" s="188">
        <v>2486</v>
      </c>
      <c r="D67" s="188"/>
      <c r="E67" s="127">
        <f t="shared" si="1"/>
        <v>2486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43909</v>
      </c>
      <c r="D68" s="418">
        <f>D54+D58+D63+D64+D65+D66</f>
        <v>0</v>
      </c>
      <c r="E68" s="419">
        <f t="shared" si="1"/>
        <v>43909</v>
      </c>
      <c r="F68" s="420">
        <f>F54+F58+F63+F64+F65+F66</f>
        <v>0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11781</v>
      </c>
      <c r="D70" s="188"/>
      <c r="E70" s="127">
        <f t="shared" si="1"/>
        <v>11781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467</v>
      </c>
      <c r="D73" s="128">
        <f>SUM(D74:D76)</f>
        <v>467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f>278+110+45</f>
        <v>433</v>
      </c>
      <c r="D74" s="188">
        <v>433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>
        <v>34</v>
      </c>
      <c r="D76" s="188">
        <v>34</v>
      </c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242859</v>
      </c>
      <c r="D77" s="129">
        <f>D78+D80</f>
        <v>242859</v>
      </c>
      <c r="E77" s="129">
        <f>E78+E80</f>
        <v>0</v>
      </c>
      <c r="F77" s="381">
        <f>F78+F80</f>
        <v>0</v>
      </c>
    </row>
    <row r="78" spans="1:6">
      <c r="A78" s="353" t="s">
        <v>700</v>
      </c>
      <c r="B78" s="126" t="s">
        <v>701</v>
      </c>
      <c r="C78" s="188">
        <v>242859</v>
      </c>
      <c r="D78" s="188">
        <v>242859</v>
      </c>
      <c r="E78" s="127">
        <f t="shared" si="1"/>
        <v>0</v>
      </c>
      <c r="F78" s="187"/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14874</v>
      </c>
      <c r="D82" s="129">
        <f>SUM(D83:D86)</f>
        <v>14874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14874</v>
      </c>
      <c r="D85" s="188">
        <v>14874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145327</v>
      </c>
      <c r="D87" s="125">
        <f>SUM(D88:D92)+D96</f>
        <v>145327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123627</v>
      </c>
      <c r="D89" s="188">
        <v>123627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849</v>
      </c>
      <c r="D90" s="188">
        <v>849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11474</v>
      </c>
      <c r="D91" s="188">
        <v>11474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6675</v>
      </c>
      <c r="D92" s="129">
        <f>SUM(D93:D95)</f>
        <v>6675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1092</v>
      </c>
      <c r="D93" s="188">
        <v>1092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3995</v>
      </c>
      <c r="D94" s="188">
        <v>3995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f>857+607+5+119</f>
        <v>1588</v>
      </c>
      <c r="D95" s="188">
        <v>1588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2702</v>
      </c>
      <c r="D96" s="188">
        <v>2702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29372</v>
      </c>
      <c r="D97" s="188">
        <v>29372</v>
      </c>
      <c r="E97" s="127">
        <f t="shared" si="1"/>
        <v>0</v>
      </c>
      <c r="F97" s="187"/>
    </row>
    <row r="98" spans="1:27" ht="16.5" thickBot="1">
      <c r="A98" s="367" t="s">
        <v>737</v>
      </c>
      <c r="B98" s="368" t="s">
        <v>738</v>
      </c>
      <c r="C98" s="416">
        <f>C87+C82+C77+C73+C97</f>
        <v>432899</v>
      </c>
      <c r="D98" s="416">
        <f>D87+D82+D77+D73+D97</f>
        <v>432899</v>
      </c>
      <c r="E98" s="416">
        <f>E87+E82+E77+E73+E97</f>
        <v>0</v>
      </c>
      <c r="F98" s="417">
        <f>F87+F82+F77+F73+F97</f>
        <v>0</v>
      </c>
    </row>
    <row r="99" spans="1:27" ht="16.5" thickBot="1">
      <c r="A99" s="395" t="s">
        <v>739</v>
      </c>
      <c r="B99" s="396" t="s">
        <v>740</v>
      </c>
      <c r="C99" s="410">
        <f>C98+C70+C68</f>
        <v>488589</v>
      </c>
      <c r="D99" s="410">
        <f>D98+D70+D68</f>
        <v>432899</v>
      </c>
      <c r="E99" s="410">
        <f>E98+E70+E68</f>
        <v>55690</v>
      </c>
      <c r="F99" s="411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6.5" thickBot="1">
      <c r="A106" s="371" t="s">
        <v>750</v>
      </c>
      <c r="B106" s="405" t="s">
        <v>751</v>
      </c>
      <c r="C106" s="271"/>
      <c r="D106" s="271"/>
      <c r="E106" s="271"/>
      <c r="F106" s="406">
        <f>C106+D106-E106</f>
        <v>0</v>
      </c>
    </row>
    <row r="107" spans="1:27" ht="16.5" thickBot="1">
      <c r="A107" s="401" t="s">
        <v>752</v>
      </c>
      <c r="B107" s="407" t="s">
        <v>753</v>
      </c>
      <c r="C107" s="408">
        <f>SUM(C104:C106)</f>
        <v>0</v>
      </c>
      <c r="D107" s="408">
        <f>SUM(D104:D106)</f>
        <v>0</v>
      </c>
      <c r="E107" s="408">
        <f>SUM(E104:E106)</f>
        <v>0</v>
      </c>
      <c r="F107" s="409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7" t="s">
        <v>817</v>
      </c>
      <c r="B109" s="727"/>
      <c r="C109" s="727"/>
      <c r="D109" s="727"/>
      <c r="E109" s="727"/>
      <c r="F109" s="72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0">
        <f>pdeReportingDate</f>
        <v>43579</v>
      </c>
      <c r="C111" s="700"/>
      <c r="D111" s="700"/>
      <c r="E111" s="700"/>
      <c r="F111" s="700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0"/>
      <c r="C113" s="700"/>
      <c r="D113" s="700"/>
      <c r="E113" s="700"/>
      <c r="F113" s="700"/>
      <c r="G113" s="51"/>
      <c r="H113" s="51"/>
    </row>
    <row r="114" spans="1:8">
      <c r="A114" s="652" t="s">
        <v>8</v>
      </c>
      <c r="B114" s="701" t="str">
        <f>authorName</f>
        <v>Людмила Бонджова</v>
      </c>
      <c r="C114" s="701"/>
      <c r="D114" s="701"/>
      <c r="E114" s="701"/>
      <c r="F114" s="701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1"/>
      <c r="C116" s="701"/>
      <c r="D116" s="701"/>
      <c r="E116" s="701"/>
      <c r="F116" s="701"/>
      <c r="G116" s="75"/>
      <c r="H116" s="75"/>
    </row>
    <row r="117" spans="1:8">
      <c r="A117" s="652" t="s">
        <v>894</v>
      </c>
      <c r="B117" s="702"/>
      <c r="C117" s="702"/>
      <c r="D117" s="702"/>
      <c r="E117" s="702"/>
      <c r="F117" s="702"/>
      <c r="G117" s="77"/>
      <c r="H117" s="77"/>
    </row>
    <row r="118" spans="1:8" ht="15.75" customHeight="1">
      <c r="A118" s="653"/>
      <c r="B118" s="703" t="str">
        <f>+Начална!B17</f>
        <v>Огнян Донев</v>
      </c>
      <c r="C118" s="699"/>
      <c r="D118" s="699"/>
      <c r="E118" s="699"/>
      <c r="F118" s="699"/>
      <c r="G118" s="653"/>
      <c r="H118" s="653"/>
    </row>
    <row r="119" spans="1:8" ht="15.75" customHeight="1">
      <c r="A119" s="653"/>
      <c r="B119" s="699"/>
      <c r="C119" s="699"/>
      <c r="D119" s="699"/>
      <c r="E119" s="699"/>
      <c r="F119" s="699"/>
      <c r="G119" s="653"/>
      <c r="H119" s="653"/>
    </row>
    <row r="120" spans="1:8" ht="15.75" customHeight="1">
      <c r="A120" s="653"/>
      <c r="B120" s="699"/>
      <c r="C120" s="699"/>
      <c r="D120" s="699"/>
      <c r="E120" s="699"/>
      <c r="F120" s="699"/>
      <c r="G120" s="653"/>
      <c r="H120" s="653"/>
    </row>
    <row r="121" spans="1:8" ht="15.75" customHeight="1">
      <c r="A121" s="653"/>
      <c r="B121" s="699"/>
      <c r="C121" s="699"/>
      <c r="D121" s="699"/>
      <c r="E121" s="699"/>
      <c r="F121" s="699"/>
      <c r="G121" s="653"/>
      <c r="H121" s="653"/>
    </row>
    <row r="122" spans="1:8">
      <c r="A122" s="653"/>
      <c r="B122" s="699"/>
      <c r="C122" s="699"/>
      <c r="D122" s="699"/>
      <c r="E122" s="699"/>
      <c r="F122" s="699"/>
      <c r="G122" s="653"/>
      <c r="H122" s="653"/>
    </row>
    <row r="123" spans="1:8">
      <c r="A123" s="653"/>
      <c r="B123" s="699"/>
      <c r="C123" s="699"/>
      <c r="D123" s="699"/>
      <c r="E123" s="699"/>
      <c r="F123" s="699"/>
      <c r="G123" s="653"/>
      <c r="H123" s="653"/>
    </row>
    <row r="124" spans="1:8">
      <c r="A124" s="653"/>
      <c r="B124" s="699"/>
      <c r="C124" s="699"/>
      <c r="D124" s="699"/>
      <c r="E124" s="699"/>
      <c r="F124" s="699"/>
      <c r="G124" s="653"/>
      <c r="H124" s="653"/>
    </row>
  </sheetData>
  <sheetProtection password="D554" sheet="1" objects="1" scenarios="1" insertRows="0"/>
  <customSheetViews>
    <customSheetView guid="{17A0B690-90B4-478F-B629-540D801E18FD}" scale="70">
      <selection activeCell="K35" sqref="K35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F2D4D9F9-DE61-45A3-92A2-4E78F2B34B7F}" scale="70" topLeftCell="A31">
      <selection activeCell="G38" sqref="G38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6"/>
  <sheetViews>
    <sheetView zoomScale="85" zoomScaleNormal="85" zoomScaleSheetLayoutView="85" workbookViewId="0">
      <selection activeCell="C35" sqref="C35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698" t="s">
        <v>516</v>
      </c>
      <c r="H10" s="698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f>+'Справка 8.1 България'!C13+'Справка 8.2 Латвия'!C13+'Справка 8.3 Беларус'!C13+'Справка 8.4 САЩ'!C13</f>
        <v>8157531</v>
      </c>
      <c r="D13" s="432"/>
      <c r="E13" s="432"/>
      <c r="F13" s="432">
        <f>+'Справка 8.1 България'!F13+'Справка 8.2 Латвия'!F13+'Справка 8.3 Беларус'!F13+'Справка 8.4 САЩ'!F13</f>
        <v>28161</v>
      </c>
      <c r="G13" s="432"/>
      <c r="H13" s="432">
        <f>+'Справка 8.1 България'!H13+'Справка 8.2 Латвия'!H13+'Справка 8.3 Беларус'!H13+'Справка 8.4 САЩ'!H13-'Справка 8.1 България'!G13-'Справка 8.2 Латвия'!G13-'Справка 8.3 Беларус'!G13-'Справка 8.4 САЩ'!G13</f>
        <v>136</v>
      </c>
      <c r="I13" s="433">
        <f>F13+G13-H13</f>
        <v>28025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f>+'Справка 8.1 България'!F17+'Справка 8.2 Латвия'!F17+'Справка 8.3 Беларус'!F17+'Справка 8.4 САЩ'!F17</f>
        <v>956</v>
      </c>
      <c r="G17" s="432">
        <f>+'Справка 8.1 България'!G17+'Справка 8.2 Латвия'!G17+'Справка 8.3 Беларус'!G17+'Справка 8.4 САЩ'!G17</f>
        <v>0</v>
      </c>
      <c r="H17" s="432">
        <f>+'Справка 8.1 България'!H17+'Справка 8.2 Латвия'!H17+'Справка 8.3 Беларус'!H17+'Справка 8.4 САЩ'!H17</f>
        <v>0</v>
      </c>
      <c r="I17" s="433">
        <f t="shared" si="0"/>
        <v>956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8157531</v>
      </c>
      <c r="D18" s="439">
        <f t="shared" si="1"/>
        <v>0</v>
      </c>
      <c r="E18" s="439">
        <f t="shared" si="1"/>
        <v>0</v>
      </c>
      <c r="F18" s="439">
        <f t="shared" si="1"/>
        <v>29117</v>
      </c>
      <c r="G18" s="439">
        <f t="shared" si="1"/>
        <v>0</v>
      </c>
      <c r="H18" s="439">
        <f t="shared" si="1"/>
        <v>136</v>
      </c>
      <c r="I18" s="440">
        <f t="shared" si="0"/>
        <v>28981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f>+'Справка 8.1 България'!C21</f>
        <v>8881336</v>
      </c>
      <c r="D21" s="432"/>
      <c r="E21" s="432"/>
      <c r="F21" s="432">
        <f>+'Справка 8.1 България'!F21</f>
        <v>33337</v>
      </c>
      <c r="G21" s="432"/>
      <c r="H21" s="432"/>
      <c r="I21" s="433">
        <f t="shared" si="0"/>
        <v>33337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8881336</v>
      </c>
      <c r="D27" s="439">
        <f t="shared" si="2"/>
        <v>0</v>
      </c>
      <c r="E27" s="439">
        <f t="shared" si="2"/>
        <v>0</v>
      </c>
      <c r="F27" s="439">
        <f t="shared" si="2"/>
        <v>33337</v>
      </c>
      <c r="G27" s="439">
        <f t="shared" si="2"/>
        <v>0</v>
      </c>
      <c r="H27" s="439">
        <f t="shared" si="2"/>
        <v>0</v>
      </c>
      <c r="I27" s="440">
        <f t="shared" si="0"/>
        <v>33337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43579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>
      <c r="A37" s="652" t="s">
        <v>894</v>
      </c>
      <c r="B37" s="746"/>
      <c r="C37" s="746"/>
      <c r="D37" s="746"/>
      <c r="E37" s="746"/>
      <c r="F37" s="746"/>
      <c r="G37" s="746"/>
      <c r="H37" s="746"/>
      <c r="I37" s="746"/>
    </row>
    <row r="38" spans="1:9" s="107" customFormat="1" ht="15.75" customHeight="1">
      <c r="A38" s="695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95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95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95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95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95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95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6"/>
  <sheetViews>
    <sheetView zoomScale="85" zoomScaleNormal="85" zoomScaleSheetLayoutView="85" workbookViewId="0">
      <selection activeCell="A21" sqref="A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39" t="s">
        <v>453</v>
      </c>
      <c r="B8" s="741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04" t="s">
        <v>760</v>
      </c>
      <c r="H9" s="104"/>
      <c r="I9" s="744" t="s">
        <v>818</v>
      </c>
    </row>
    <row r="10" spans="1:22" s="103" customFormat="1" ht="24" customHeight="1">
      <c r="A10" s="740"/>
      <c r="B10" s="742"/>
      <c r="C10" s="743"/>
      <c r="D10" s="743"/>
      <c r="E10" s="743"/>
      <c r="F10" s="743"/>
      <c r="G10" s="106" t="s">
        <v>516</v>
      </c>
      <c r="H10" s="106" t="s">
        <v>517</v>
      </c>
      <c r="I10" s="744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8013101</v>
      </c>
      <c r="D13" s="432"/>
      <c r="E13" s="432"/>
      <c r="F13" s="432">
        <f>26458-200</f>
        <v>26258</v>
      </c>
      <c r="G13" s="432">
        <v>200</v>
      </c>
      <c r="H13" s="432"/>
      <c r="I13" s="433">
        <f>F13+G13-H13</f>
        <v>26458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8013101</v>
      </c>
      <c r="D18" s="439">
        <f t="shared" si="1"/>
        <v>0</v>
      </c>
      <c r="E18" s="439">
        <f t="shared" si="1"/>
        <v>0</v>
      </c>
      <c r="F18" s="439">
        <f t="shared" si="1"/>
        <v>26258</v>
      </c>
      <c r="G18" s="439">
        <f t="shared" si="1"/>
        <v>200</v>
      </c>
      <c r="H18" s="439">
        <f t="shared" si="1"/>
        <v>0</v>
      </c>
      <c r="I18" s="440">
        <f t="shared" si="0"/>
        <v>26458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8881336</v>
      </c>
      <c r="D21" s="432"/>
      <c r="E21" s="432"/>
      <c r="F21" s="432">
        <v>33337</v>
      </c>
      <c r="G21" s="432"/>
      <c r="H21" s="432"/>
      <c r="I21" s="433">
        <f t="shared" si="0"/>
        <v>33337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8881336</v>
      </c>
      <c r="D27" s="439">
        <f t="shared" si="2"/>
        <v>0</v>
      </c>
      <c r="E27" s="439">
        <f t="shared" si="2"/>
        <v>0</v>
      </c>
      <c r="F27" s="439">
        <f t="shared" si="2"/>
        <v>33337</v>
      </c>
      <c r="G27" s="439">
        <f t="shared" si="2"/>
        <v>0</v>
      </c>
      <c r="H27" s="439">
        <f t="shared" si="2"/>
        <v>0</v>
      </c>
      <c r="I27" s="440">
        <f t="shared" si="0"/>
        <v>33337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5" t="s">
        <v>819</v>
      </c>
      <c r="B29" s="745"/>
      <c r="C29" s="745"/>
      <c r="D29" s="745"/>
      <c r="E29" s="745"/>
      <c r="F29" s="745"/>
      <c r="G29" s="745"/>
      <c r="H29" s="745"/>
      <c r="I29" s="745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43579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>
      <c r="A37" s="652" t="s">
        <v>894</v>
      </c>
      <c r="B37" s="746"/>
      <c r="C37" s="746"/>
      <c r="D37" s="746"/>
      <c r="E37" s="746"/>
      <c r="F37" s="746"/>
      <c r="G37" s="746"/>
      <c r="H37" s="746"/>
      <c r="I37" s="746"/>
    </row>
    <row r="38" spans="1:9" s="107" customFormat="1" ht="15.75" customHeight="1">
      <c r="A38" s="653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53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53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53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53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53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53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17A0B690-90B4-478F-B629-540D801E18FD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F2D4D9F9-DE61-45A3-92A2-4E78F2B34B7F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3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Vladimir Papazov</cp:lastModifiedBy>
  <cp:lastPrinted>2019-04-23T07:59:52Z</cp:lastPrinted>
  <dcterms:created xsi:type="dcterms:W3CDTF">2006-09-16T00:00:00Z</dcterms:created>
  <dcterms:modified xsi:type="dcterms:W3CDTF">2019-04-23T08:11:31Z</dcterms:modified>
</cp:coreProperties>
</file>