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ir\Desktop\Q1 conso\BG\final BG\"/>
    </mc:Choice>
  </mc:AlternateContent>
  <xr:revisionPtr revIDLastSave="0" documentId="13_ncr:81_{4DB9D5DD-742A-4AB6-81DF-27C950D0ABFB}" xr6:coauthVersionLast="43" xr6:coauthVersionMax="43" xr10:uidLastSave="{00000000-0000-0000-0000-000000000000}"/>
  <bookViews>
    <workbookView xWindow="-120" yWindow="-120" windowWidth="19440" windowHeight="15000" tabRatio="814" firstSheet="5" activeTab="10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78A1B5DC_DDD3_47B7_ABD4_EC354C41CDDF_.wvu.FilterData" localSheetId="3" hidden="1">'3-Отчет за паричния поток'!$A$9:$D$48</definedName>
    <definedName name="Z_78A1B5DC_DDD3_47B7_ABD4_EC354C41CDDF_.wvu.FilterData" localSheetId="14" hidden="1">Danni!$A$1:$H$1294</definedName>
    <definedName name="Z_78A1B5DC_DDD3_47B7_ABD4_EC354C41CDDF_.wvu.PrintArea" localSheetId="1" hidden="1">'1-Баланс'!$A$1:$H$111</definedName>
    <definedName name="Z_78A1B5DC_DDD3_47B7_ABD4_EC354C41CDDF_.wvu.PrintArea" localSheetId="2" hidden="1">'2-Отчет за доходите'!$A$1:$H$59</definedName>
    <definedName name="Z_78A1B5DC_DDD3_47B7_ABD4_EC354C41CDDF_.wvu.PrintArea" localSheetId="4" hidden="1">'4-Отчет за собствения капитал'!$A$1:$M$51</definedName>
    <definedName name="Z_78A1B5DC_DDD3_47B7_ABD4_EC354C41CDDF_.wvu.PrintArea" localSheetId="12" hidden="1">Контроли!$A$1:$G$15</definedName>
    <definedName name="Z_78A1B5DC_DDD3_47B7_ABD4_EC354C41CDDF_.wvu.PrintArea" localSheetId="0" hidden="1">Начална!$A$1:$B$29</definedName>
    <definedName name="Z_78A1B5DC_DDD3_47B7_ABD4_EC354C41CDDF_.wvu.PrintArea" localSheetId="13" hidden="1">Показатели!$A$1:$D$24</definedName>
    <definedName name="Z_78A1B5DC_DDD3_47B7_ABD4_EC354C41CDDF_.wvu.PrintArea" localSheetId="5" hidden="1">'Справка 6'!$A$1:$R$58</definedName>
    <definedName name="Z_78A1B5DC_DDD3_47B7_ABD4_EC354C41CDDF_.wvu.PrintTitles" localSheetId="1" hidden="1">'1-Баланс'!$9:$9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81029"/>
  <customWorkbookViews>
    <customWorkbookView name="Vladimir Papazov - Personal View" guid="{F2D4D9F9-DE61-45A3-92A2-4E78F2B34B7F}" mergeInterval="0" personalView="1" maximized="1" xWindow="-9" yWindow="-9" windowWidth="1938" windowHeight="1048" tabRatio="814" activeSheetId="2"/>
    <customWorkbookView name="Antoaneta Ivanova Todorova - Personal View" guid="{17A0B690-90B4-478F-B629-540D801E18FD}" mergeInterval="0" personalView="1" maximized="1" xWindow="-9" yWindow="-9" windowWidth="1938" windowHeight="1048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2"/>
    <customWorkbookView name="Investor Relations - Personal View" guid="{78A1B5DC-DDD3-47B7-ABD4-EC354C41CDDF}" mergeInterval="0" personalView="1" maximized="1" xWindow="-8" yWindow="-8" windowWidth="1296" windowHeight="1000" tabRatio="814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7" l="1"/>
  <c r="H29" i="6" l="1"/>
  <c r="I29" i="6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2" l="1"/>
  <c r="I27" i="11"/>
  <c r="I18" i="11"/>
  <c r="I18" i="12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0" l="1"/>
  <c r="I18" i="10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B34" i="9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B101" i="2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H1192" i="15" s="1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H627" i="15"/>
  <c r="H597" i="15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E15" i="13"/>
  <c r="Q20" i="6" l="1"/>
  <c r="H860" i="15" s="1"/>
  <c r="Q36" i="6"/>
  <c r="H874" i="15" s="1"/>
  <c r="H1172" i="15"/>
  <c r="G17" i="5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R36" i="6"/>
  <c r="H904" i="15" s="1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G31" i="5" l="1"/>
  <c r="G34" i="5" s="1"/>
  <c r="H327" i="15" s="1"/>
  <c r="D46" i="7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24" i="15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N42" i="6" s="1"/>
  <c r="H790" i="15" s="1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F34" i="5"/>
  <c r="H305" i="15" s="1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280" i="15" l="1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<sst xmlns="http://schemas.openxmlformats.org/spreadsheetml/2006/main" count="4363" uniqueCount="974">
  <si>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</si>
  <si>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</si>
  <si>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</si>
  <si>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</si>
  <si>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</si>
  <si>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</si>
  <si>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</si>
  <si>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</si>
  <si>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</si>
  <si>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</si>
  <si>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</si>
  <si>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</si>
  <si>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</si>
  <si>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</si>
  <si>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</si>
  <si>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</si>
  <si>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</si>
  <si>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</si>
  <si>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</si>
  <si>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</si>
  <si>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</si>
  <si>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</si>
  <si>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</si>
  <si>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</si>
  <si>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</si>
  <si>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</si>
  <si>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</si>
  <si>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</si>
  <si>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</si>
  <si>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</si>
  <si>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</si>
  <si>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</si>
  <si>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</si>
  <si>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</si>
  <si>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</si>
  <si>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</si>
  <si>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</si>
  <si>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</si>
  <si>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</si>
  <si>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</si>
  <si>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</si>
  <si>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</si>
  <si>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</si>
  <si>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</si>
  <si>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</si>
  <si>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</si>
  <si>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</si>
  <si>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</si>
  <si>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</si>
  <si>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</si>
  <si>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</si>
  <si>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</si>
  <si>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</si>
  <si>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</si>
  <si>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</si>
  <si>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</si>
  <si>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</si>
  <si>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</si>
  <si>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</si>
  <si>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</si>
  <si>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</si>
  <si>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</si>
  <si>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</si>
  <si>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</si>
  <si>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</si>
  <si>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</si>
  <si>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</si>
  <si>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</si>
  <si>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</si>
  <si>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</si>
  <si>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</si>
  <si>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</si>
  <si>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</si>
  <si>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</si>
  <si>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</si>
  <si>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</si>
  <si>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</si>
  <si>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</si>
  <si>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</si>
  <si>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</si>
  <si>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</si>
  <si>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</si>
  <si>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</si>
  <si>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</si>
  <si>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</si>
  <si>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</si>
  <si>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</si>
  <si>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</si>
  <si>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</si>
  <si>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</si>
  <si>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</si>
  <si>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</si>
  <si>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</si>
  <si>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</si>
  <si>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</si>
  <si>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</si>
  <si>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</si>
  <si>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</si>
  <si>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</si>
  <si>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</si>
  <si>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</si>
  <si>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</si>
  <si>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</si>
  <si>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</si>
  <si>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</si>
  <si>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</si>
  <si>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</si>
  <si>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</si>
  <si>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</si>
  <si>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</si>
  <si>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</si>
  <si>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</si>
  <si>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</si>
  <si>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</si>
  <si>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</si>
  <si>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</si>
  <si>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</si>
  <si>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</si>
  <si>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</si>
  <si>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</si>
  <si>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</si>
  <si>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</si>
  <si>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</si>
  <si>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</si>
  <si>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</si>
  <si>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</si>
  <si>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</si>
  <si>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</si>
  <si>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</si>
  <si>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</si>
  <si>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</si>
  <si>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</si>
  <si>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</si>
  <si>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</si>
  <si>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</si>
  <si>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</si>
  <si>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</si>
  <si>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</si>
  <si>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</si>
  <si>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</si>
  <si>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</si>
  <si>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</si>
  <si>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</si>
  <si>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</si>
  <si>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</si>
  <si>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</si>
  <si>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</si>
  <si>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</si>
  <si>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</si>
  <si>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</si>
  <si>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</si>
  <si>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</si>
  <si>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</si>
  <si>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</si>
  <si>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</si>
  <si>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</si>
  <si>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</si>
  <si>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</si>
  <si>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</si>
  <si>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</si>
  <si>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</si>
  <si>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</si>
  <si>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</si>
  <si>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</si>
  <si>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</si>
  <si>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</si>
  <si>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</si>
  <si>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</si>
  <si>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</si>
  <si>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</si>
  <si>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</si>
  <si>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</si>
  <si>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</si>
  <si>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</si>
  <si>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</si>
  <si>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</si>
  <si>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</si>
  <si>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</si>
  <si>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</si>
  <si>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</si>
  <si>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</si>
  <si>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</si>
  <si>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</si>
  <si>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</si>
  <si>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</si>
  <si>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</si>
  <si>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</si>
  <si>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</si>
  <si>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</si>
  <si>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</si>
  <si>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</si>
  <si>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</si>
  <si>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</si>
  <si>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</si>
  <si>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</si>
  <si>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</si>
  <si>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</si>
  <si>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</si>
  <si>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</si>
  <si>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</si>
  <si>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</si>
  <si>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</si>
  <si>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</si>
  <si>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</si>
  <si>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</si>
  <si>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</si>
  <si>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</si>
  <si>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</si>
  <si>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</si>
  <si>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</si>
  <si>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</si>
  <si>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</si>
  <si>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</si>
  <si>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</si>
  <si>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</si>
  <si>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</si>
  <si>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</si>
  <si>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</si>
  <si>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</si>
  <si>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</si>
  <si>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</si>
  <si>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</si>
  <si>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</si>
  <si>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</si>
  <si>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</si>
  <si>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</si>
  <si>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</si>
  <si>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</si>
  <si>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</si>
  <si>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</si>
  <si>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</si>
  <si>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</si>
  <si>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</si>
  <si>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</si>
  <si>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</si>
  <si>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</si>
  <si>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</si>
  <si>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</si>
  <si>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</si>
  <si>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</si>
  <si>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</si>
  <si>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</si>
  <si>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</si>
  <si>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</si>
  <si>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</si>
  <si>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</si>
  <si>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</si>
  <si>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</si>
  <si>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</si>
  <si>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</si>
  <si>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</si>
  <si>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</si>
  <si>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</si>
  <si>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</si>
  <si>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</si>
  <si>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</si>
  <si>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</si>
  <si>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</si>
  <si>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</si>
  <si>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</si>
  <si>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</si>
  <si>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</si>
  <si>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</si>
  <si>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</si>
  <si>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</si>
  <si>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</si>
  <si>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</si>
  <si>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</si>
  <si>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</si>
  <si>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</si>
  <si>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</si>
  <si>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</si>
  <si>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</si>
  <si>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</si>
  <si>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</si>
  <si>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</si>
  <si>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</si>
  <si>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</si>
  <si>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</si>
  <si>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</si>
  <si>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</si>
  <si>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</si>
  <si>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</si>
  <si>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</si>
  <si>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</si>
  <si>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</si>
  <si>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</si>
  <si>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</si>
  <si>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</si>
  <si>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</si>
  <si>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</si>
  <si>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</si>
  <si>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</si>
  <si>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</si>
  <si>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</si>
  <si>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</si>
  <si>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</si>
  <si>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</si>
  <si>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</si>
  <si>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</si>
  <si>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</si>
  <si>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</si>
  <si>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</si>
  <si>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</si>
  <si>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</si>
  <si>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</si>
  <si>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</si>
  <si>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</si>
  <si>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</si>
  <si>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</si>
  <si>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</si>
  <si>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</si>
  <si>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</si>
  <si>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</si>
  <si>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</si>
  <si>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</si>
  <si>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</si>
  <si>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</si>
  <si>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</si>
  <si>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</si>
  <si>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</si>
  <si>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</si>
  <si>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</si>
  <si>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</si>
  <si>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</si>
  <si>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</si>
  <si>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</si>
  <si>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</si>
  <si>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</si>
  <si>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</si>
  <si>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</si>
  <si>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</si>
  <si>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</si>
  <si>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</si>
  <si>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</si>
  <si>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</si>
  <si>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</si>
  <si>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</si>
  <si>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</si>
  <si>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</si>
  <si>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</si>
  <si>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</si>
  <si>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</si>
  <si>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</si>
  <si>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</si>
  <si>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</si>
  <si>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</si>
  <si>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</si>
  <si>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</si>
  <si>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</si>
  <si>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</si>
  <si>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</si>
  <si>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</si>
  <si>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</si>
  <si>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</si>
  <si>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</si>
  <si>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</si>
  <si>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</si>
  <si>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</si>
  <si>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</si>
  <si>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</si>
  <si>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</si>
  <si>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</si>
  <si>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</si>
  <si>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</si>
  <si>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</si>
  <si>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</si>
  <si>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</si>
  <si>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</si>
  <si>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</si>
  <si>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</si>
  <si>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</si>
  <si>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</si>
  <si>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</si>
  <si>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</si>
  <si>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</si>
  <si>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</si>
  <si>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</si>
  <si>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</si>
  <si>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</si>
  <si>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</si>
  <si>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</si>
  <si>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</si>
  <si>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</si>
  <si>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</si>
  <si>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</si>
  <si>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</si>
  <si>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</si>
  <si>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</si>
  <si>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</si>
  <si>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</si>
  <si>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</si>
  <si>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</si>
  <si>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</si>
  <si>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</si>
  <si>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</si>
  <si>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</si>
  <si>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</si>
  <si>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</si>
  <si>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</si>
  <si>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</si>
  <si>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</si>
  <si>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</si>
  <si>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</si>
  <si>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</si>
  <si>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</si>
  <si>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</si>
  <si>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</si>
  <si>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</si>
  <si>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</si>
  <si>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</si>
  <si>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</si>
  <si>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</si>
  <si>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</si>
  <si>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</si>
  <si>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</si>
  <si>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</si>
  <si>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</si>
  <si>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</si>
  <si>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</si>
  <si>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</si>
  <si>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</si>
  <si>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</si>
  <si>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</si>
  <si>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</si>
  <si>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</si>
  <si>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</si>
  <si>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</si>
  <si>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</si>
  <si>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</si>
  <si>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</si>
  <si>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</si>
  <si>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</si>
  <si>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</si>
  <si>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</si>
  <si>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</si>
  <si>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</si>
  <si>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</si>
  <si>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</si>
  <si>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</si>
  <si>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</si>
  <si>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</si>
  <si>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</si>
  <si>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</si>
  <si>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</si>
  <si>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</si>
  <si>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</si>
  <si>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</si>
  <si>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</si>
  <si>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</si>
  <si>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</si>
  <si>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</si>
  <si>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</si>
  <si>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</si>
  <si>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</si>
  <si>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</si>
  <si>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</si>
  <si>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</si>
  <si>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</si>
  <si>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</si>
  <si>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</si>
  <si>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</si>
  <si>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</si>
  <si>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</si>
  <si>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</si>
  <si>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</si>
  <si>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</si>
  <si>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</si>
  <si>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</si>
  <si>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</si>
  <si>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</si>
  <si>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</si>
  <si>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</si>
  <si>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</si>
  <si>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</si>
  <si>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</si>
  <si>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</si>
  <si>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</si>
  <si>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</si>
  <si>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</si>
  <si>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</si>
  <si>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</si>
  <si>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</si>
  <si>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</si>
  <si>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</si>
  <si>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</si>
  <si>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</si>
  <si>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</si>
  <si>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</si>
  <si>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</si>
  <si>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</si>
  <si>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</si>
  <si>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</si>
  <si>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</si>
  <si>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</si>
  <si>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</si>
  <si>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</si>
  <si>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</si>
  <si>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</si>
  <si>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</si>
  <si>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</si>
  <si>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</si>
  <si>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</si>
  <si>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</si>
  <si>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</si>
  <si>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</si>
  <si>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</si>
  <si>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</si>
  <si>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</si>
  <si>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</si>
  <si>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</si>
  <si>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</si>
  <si>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</si>
  <si>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</si>
  <si>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</si>
  <si>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</si>
  <si>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</si>
  <si>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</si>
  <si>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</si>
  <si>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</si>
  <si>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</si>
  <si>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</si>
  <si>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</si>
  <si>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</si>
  <si>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</si>
  <si>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</si>
  <si>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</si>
  <si>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</si>
  <si>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</si>
  <si>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</si>
  <si>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</si>
  <si>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</si>
  <si>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</si>
  <si>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</si>
  <si>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</si>
  <si>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</si>
  <si>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</si>
  <si>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</si>
  <si>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</si>
  <si>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</si>
  <si>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</si>
  <si>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</si>
  <si>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</si>
  <si>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</si>
  <si>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</si>
  <si>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</si>
  <si>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</si>
  <si>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</si>
  <si>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</si>
  <si>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</si>
  <si>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</si>
  <si>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</si>
  <si>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</si>
  <si>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</si>
  <si>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</si>
  <si>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</si>
  <si>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</si>
  <si>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</si>
  <si>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</si>
  <si>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</si>
  <si>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</si>
  <si>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</si>
  <si>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</si>
  <si>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</si>
  <si>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</si>
  <si>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</si>
  <si>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</si>
  <si>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</si>
  <si>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</si>
  <si>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</si>
  <si>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</si>
  <si>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</si>
  <si>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</si>
  <si>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</si>
  <si>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</si>
  <si>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</si>
  <si>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</si>
  <si>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</si>
  <si>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</si>
  <si>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</si>
  <si>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</si>
  <si>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</si>
  <si>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</si>
  <si>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</si>
  <si>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</si>
  <si>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</si>
  <si>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</si>
  <si>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</si>
  <si>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</si>
  <si>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</si>
  <si>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</si>
  <si>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</si>
  <si>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</si>
  <si>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</si>
  <si>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</si>
  <si>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</si>
  <si>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</si>
  <si>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</si>
  <si>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</si>
  <si>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</si>
  <si>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</si>
  <si>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</si>
  <si>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</si>
  <si>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</si>
  <si>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</si>
  <si>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</si>
  <si>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</si>
  <si>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</si>
  <si>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</si>
  <si>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</si>
  <si>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</si>
  <si>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</si>
  <si>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</si>
  <si>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</si>
  <si>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</si>
  <si>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</si>
  <si>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</si>
  <si>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</si>
  <si>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</si>
  <si>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</si>
  <si>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</si>
  <si>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</si>
  <si>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</si>
  <si>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</si>
  <si>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</si>
  <si>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</si>
  <si>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</si>
  <si>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</si>
  <si>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</si>
  <si>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</si>
  <si>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</si>
  <si>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</si>
  <si>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</si>
  <si>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</si>
  <si>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</si>
  <si>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</si>
  <si>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</si>
  <si>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</si>
  <si>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</si>
  <si>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</si>
  <si>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</si>
  <si>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</si>
  <si>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</si>
  <si>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</si>
  <si>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</si>
  <si>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</si>
  <si>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</si>
  <si>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</si>
  <si>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</si>
  <si>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</si>
  <si>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</si>
  <si>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</si>
  <si>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</si>
  <si>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</si>
  <si>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</si>
  <si>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</si>
  <si>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</si>
  <si>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</si>
  <si>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</si>
  <si>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</si>
  <si>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</si>
  <si>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</si>
  <si>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</si>
  <si>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</si>
  <si>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</si>
  <si>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</si>
  <si>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</si>
  <si>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</si>
  <si>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</si>
  <si>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</si>
  <si>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</si>
  <si>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</si>
  <si>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</si>
  <si>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</si>
  <si>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</si>
  <si>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</si>
  <si>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</si>
  <si>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</si>
  <si>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</si>
  <si>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</si>
  <si>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</si>
  <si>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</si>
  <si>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</si>
  <si>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</si>
  <si>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</si>
  <si>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</si>
  <si>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</si>
  <si>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</si>
  <si>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</si>
  <si>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</si>
  <si>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</si>
  <si>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</si>
  <si>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</si>
  <si>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</si>
  <si>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</si>
  <si>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</si>
  <si>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</si>
  <si>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</si>
  <si>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</si>
  <si>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</si>
  <si>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</si>
  <si>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</si>
  <si>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</si>
  <si>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</si>
  <si>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</si>
  <si>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</si>
  <si>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</si>
  <si>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</si>
  <si>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</si>
  <si>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</si>
  <si>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</si>
  <si>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</si>
  <si>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</si>
  <si>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</si>
  <si>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</si>
  <si>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</si>
  <si>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</si>
  <si>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</si>
  <si>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</si>
  <si>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</si>
  <si>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</si>
  <si>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</si>
  <si>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</si>
  <si>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</si>
  <si>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</si>
  <si>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</si>
  <si>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</si>
  <si>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</si>
  <si>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</si>
  <si>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</si>
  <si>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</si>
  <si>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</si>
  <si>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</si>
  <si>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</si>
  <si>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</si>
  <si>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</si>
  <si>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</si>
  <si>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</si>
  <si>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</si>
  <si>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</si>
  <si>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</si>
  <si>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</si>
  <si>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</si>
  <si>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</si>
  <si>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</si>
  <si>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</si>
  <si>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</si>
  <si>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</si>
  <si>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</si>
  <si>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</si>
  <si>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</si>
  <si>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</si>
  <si>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</si>
  <si>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</si>
  <si>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</si>
  <si>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</si>
  <si>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</si>
  <si>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</si>
  <si>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</si>
  <si>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</si>
  <si>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</si>
  <si>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</si>
  <si>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</si>
  <si>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</si>
  <si>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</si>
  <si>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</si>
  <si>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</si>
  <si>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</si>
  <si>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</si>
  <si>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</si>
  <si>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</si>
  <si>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</si>
  <si>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</si>
  <si>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</si>
  <si>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</si>
  <si>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</si>
  <si>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</si>
  <si>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</si>
  <si>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</si>
  <si>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</si>
  <si>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</si>
  <si>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</si>
  <si>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</si>
  <si>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</si>
  <si>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</si>
  <si>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</si>
  <si>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</si>
  <si>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</si>
  <si>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</si>
  <si>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</si>
  <si>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</si>
  <si>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</si>
  <si>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</si>
  <si>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</si>
  <si>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</si>
  <si>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</si>
  <si>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</si>
  <si>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</si>
  <si>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</si>
  <si>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</si>
  <si>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</si>
  <si>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</si>
  <si>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</si>
  <si>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</si>
  <si>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</si>
  <si>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</si>
  <si>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</si>
  <si>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</si>
  <si>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</si>
  <si>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</si>
  <si>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</si>
  <si>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</si>
  <si>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</si>
  <si>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</si>
  <si>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</si>
  <si>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</si>
  <si>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</si>
  <si>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</si>
  <si>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</si>
  <si>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</si>
  <si>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</si>
  <si>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</si>
  <si>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</si>
  <si>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</si>
  <si>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</si>
  <si>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</si>
  <si>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</si>
  <si>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</si>
  <si>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</si>
  <si>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</si>
  <si>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</si>
  <si>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</si>
  <si>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</si>
  <si>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</si>
  <si>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</si>
  <si>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</si>
  <si>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</si>
  <si>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</si>
  <si>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</si>
  <si>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</si>
  <si>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</si>
  <si>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</si>
  <si>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</si>
  <si>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</si>
  <si>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</si>
  <si>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</si>
  <si>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</si>
  <si>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</si>
  <si>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</si>
  <si>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</si>
  <si>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</si>
  <si>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</si>
  <si>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</si>
  <si>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</si>
  <si>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</si>
  <si>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</si>
  <si>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</si>
  <si>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</si>
  <si>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</si>
  <si>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</si>
  <si>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</si>
  <si>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</si>
  <si>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</si>
  <si>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</si>
  <si>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</si>
  <si>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</si>
  <si>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</si>
  <si>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</si>
  <si>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</si>
  <si>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</si>
  <si>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</si>
  <si>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</si>
  <si>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</si>
  <si>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</si>
  <si>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</si>
  <si>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</si>
  <si>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</si>
  <si>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</si>
  <si>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</si>
  <si>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</si>
  <si>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</si>
  <si>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</si>
  <si>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</si>
  <si>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</si>
  <si>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</si>
  <si>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</si>
  <si>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</si>
  <si>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</si>
  <si>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</si>
  <si>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</si>
  <si>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</si>
  <si>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</si>
  <si>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</si>
  <si>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</si>
  <si>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</si>
  <si>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</si>
  <si>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</si>
  <si>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</si>
  <si>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</si>
  <si>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</si>
  <si>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</si>
  <si>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</si>
  <si>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</si>
  <si>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</si>
  <si>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</si>
  <si>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</si>
  <si>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</si>
  <si>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</si>
  <si>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</si>
  <si>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</si>
  <si>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</si>
  <si>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</si>
  <si>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</si>
  <si>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</si>
  <si>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</si>
  <si>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</si>
  <si>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</si>
  <si>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</si>
  <si>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</si>
  <si>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</si>
  <si>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</si>
  <si>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</si>
  <si>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</si>
  <si>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</si>
  <si>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</si>
  <si>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</si>
  <si>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</si>
  <si>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</si>
  <si>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</si>
  <si>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</si>
  <si>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</si>
  <si>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</si>
  <si>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</si>
  <si>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</si>
  <si>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</si>
  <si>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</si>
  <si>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</si>
  <si>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</si>
  <si>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</si>
  <si>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</si>
  <si>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</si>
  <si>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</si>
  <si>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</si>
  <si>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</si>
  <si>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</si>
  <si>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</si>
  <si>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</si>
  <si>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</si>
  <si>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</si>
  <si>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</si>
  <si>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</si>
  <si>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</si>
  <si>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</si>
  <si>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</si>
  <si>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</si>
  <si>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</si>
  <si>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</si>
  <si>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</si>
  <si>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</si>
  <si>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</si>
  <si>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</si>
  <si>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</si>
  <si>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</si>
  <si>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</si>
  <si>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</si>
  <si>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</si>
  <si>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</si>
  <si>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</si>
  <si>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</si>
  <si>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</si>
  <si>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</si>
  <si>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</si>
  <si>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</si>
  <si>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д.и.н. Огнян Донев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</si>
</sst>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952F62-AC6E-4E44-9D9D-8F663C0171A9}" diskRevisions="1" revisionId="474" version="2">
  <header guid="{52B91A19-D9E9-40FC-8238-6C9BDB4DF998}" dateTime="2020-05-26T11:58:10" maxSheetId="17" userName="Vladimir Papazov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8423DDA-7333-4FB3-B3AF-EE52678A02E1}" dateTime="2020-05-26T12:06:18" maxSheetId="17" userName="Antoaneta Ivanova Todorova" r:id="rId2" minRId="1" maxRId="8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67F3D0C-61D7-4530-BF9F-E1A528F58628}" dateTime="2020-05-26T12:09:14" maxSheetId="17" userName="Antoaneta Ivanova Todorova" r:id="rId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94BEDAE-6B0E-4D6C-819B-E23E0BBC58AC}" dateTime="2020-05-26T12:23:49" maxSheetId="17" userName="Vladimir Papazov" r:id="rId4" minRId="97" maxRId="9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2EE8004-70BD-420D-B7EA-40A7CFA0F8D6}" dateTime="2020-05-26T12:57:29" maxSheetId="17" userName="Antoaneta Ivanova Todorova" r:id="rId5" minRId="100" maxRId="15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7193F37-5E35-4A48-B6B5-88737932856F}" dateTime="2020-05-26T12:58:13" maxSheetId="17" userName="Antoaneta Ivanova Todorova" r:id="rId6" minRId="162" maxRId="1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440CD3D-25FE-4562-9BC1-1EE426784B48}" dateTime="2020-05-26T13:15:11" maxSheetId="17" userName="Antoaneta Ivanova Todorova" r:id="rId7" minRId="164" maxRId="21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595239D-4207-483B-B819-24D29AE9F500}" dateTime="2020-05-26T13:18:04" maxSheetId="17" userName="Antoaneta Ivanova Todorova" r:id="rId8" minRId="223" maxRId="2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DB081E2-F301-432D-BA82-42202987448F}" dateTime="2020-05-26T13:24:56" maxSheetId="17" userName="Vladimir Papazov" r:id="rId9" minRId="229" maxRId="27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B997FF5-E1B8-49BB-B1B0-577D7EE6C2FC}" dateTime="2020-05-26T13:26:52" maxSheetId="17" userName="Antoaneta Ivanova Todorova" r:id="rId10" minRId="281" maxRId="29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513F8E9-31D5-4657-830C-44C8FF18A18C}" dateTime="2020-05-26T13:29:37" maxSheetId="17" userName="Antoaneta Ivanova Todorova" r:id="rId11" minRId="293" maxRId="29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A9A0309-5B88-4A38-B7A9-0CF74EF0805F}" dateTime="2020-05-26T13:31:29" maxSheetId="17" userName="Vladimir Papazov" r:id="rId12" minRId="295" maxRId="31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BCADD50-65B7-4458-8AF6-F2B30AE357BC}" dateTime="2020-05-26T13:32:04" maxSheetId="17" userName="Antoaneta Ivanova Todorova" r:id="rId13" minRId="316" maxRId="31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3456CE6-B857-401E-B4CE-B68A0A271811}" dateTime="2020-05-26T13:32:23" maxSheetId="17" userName="Antoaneta Ivanova Todorova" r:id="rId14" minRId="320" maxRId="32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D9D94BD-A1AF-49E7-B3D8-EF4DF552603D}" dateTime="2020-05-26T13:33:17" maxSheetId="17" userName="Antoaneta Ivanova Todorova" r:id="rId15" minRId="32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F11C450-A939-4396-939D-BE39026CB145}" dateTime="2020-05-26T13:40:15" maxSheetId="17" userName="Antoaneta Ivanova Todorova" r:id="rId16" minRId="323" maxRId="32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636248E-47F3-40AD-A907-2486DBD0D98E}" dateTime="2020-05-26T13:44:00" maxSheetId="17" userName="Antoaneta Ivanova Todorova" r:id="rId17" minRId="330" maxRId="3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1786C66-6BF5-4260-80F6-6410B928DD05}" dateTime="2020-05-26T13:46:12" maxSheetId="17" userName="Antoaneta Ivanova Todorova" r:id="rId18" minRId="341" maxRId="34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B88F292-B837-4F32-94B8-F8976F4570C6}" dateTime="2020-05-26T13:49:51" maxSheetId="17" userName="Vladimir Papazov" r:id="rId19" minRId="347" maxRId="34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BBFB76B-274C-44BB-9305-162BF2F0E4C7}" dateTime="2020-05-26T13:57:04" maxSheetId="17" userName="Vladimir Papazov" r:id="rId2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3AE4377-F296-40BC-AFDE-3F2A17F852C8}" dateTime="2020-05-26T13:58:42" maxSheetId="17" userName="Antoaneta Ivanova Todorova" r:id="rId21" minRId="36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E915FA6-8935-4F17-ACA4-4B9F756F4AEF}" dateTime="2020-05-26T15:45:20" maxSheetId="17" userName="Vladimir Papazov" r:id="rId22" minRId="380" maxRId="38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6D4D21-A1A4-417B-9B38-EC998719E61A}" dateTime="2020-05-26T16:22:09" maxSheetId="17" userName="Vladimir Papazov" r:id="rId23" minRId="394" maxRId="40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5ADB7D5-BA09-43C3-B63C-625CCAE987F6}" dateTime="2020-05-27T10:00:57" maxSheetId="17" userName="Vladimir Papazov" r:id="rId24" minRId="404" maxRId="40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8B28DCB-A4EF-41F9-A352-0E3480E83E72}" dateTime="2020-05-27T16:13:23" maxSheetId="17" userName="Lyudmila Bondzhova" r:id="rId25" minRId="416" maxRId="42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DBE95C0-EF6C-4EBB-9B6E-BF49B04F36CF}" dateTime="2020-05-27T16:42:52" maxSheetId="17" userName="Vladimir Papazov" r:id="rId2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8FFB6FA-8E19-434B-B459-4380C97D099E}" dateTime="2020-05-27T16:48:14" maxSheetId="17" userName="Vladimir Papazov" r:id="rId27" minRId="431" maxRId="45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C8A1D5B-EA3E-4406-B9D8-BF8773E1F293}" dateTime="2020-05-27T16:50:23" maxSheetId="17" userName="Vladimir Papazov" r:id="rId28" minRId="453" maxRId="46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F952F62-AC6E-4E44-9D9D-8F663C0171A9}" dateTime="2020-06-01T13:38:17" maxSheetId="17" userName="Investor Relations" r:id="rId2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4" numFmtId="4">
    <nc r="C15">
      <v>-13902</v>
    </nc>
  </rcc>
  <rcc rId="282" sId="4" numFmtId="4">
    <nc r="D15">
      <v>-15881</v>
    </nc>
  </rcc>
  <rcc rId="283" sId="4" numFmtId="4">
    <nc r="C16">
      <v>-679</v>
    </nc>
  </rcc>
  <rcc rId="284" sId="4" numFmtId="4">
    <nc r="D16">
      <v>-1246</v>
    </nc>
  </rcc>
  <rcc rId="285" sId="4" numFmtId="4">
    <nc r="C18">
      <v>-2038</v>
    </nc>
  </rcc>
  <rcc rId="286" sId="4" numFmtId="4">
    <nc r="D18">
      <v>-2260</v>
    </nc>
  </rcc>
  <rcc rId="287" sId="4" numFmtId="4">
    <nc r="C19">
      <v>-1830</v>
    </nc>
  </rcc>
  <rcc rId="288" sId="4" numFmtId="4">
    <nc r="D19">
      <v>-76</v>
    </nc>
  </rcc>
  <rcc rId="289" sId="4" numFmtId="4">
    <nc r="C20">
      <v>-6261</v>
    </nc>
  </rcc>
  <rcc rId="290" sId="4" numFmtId="4">
    <nc r="D20">
      <v>-481</v>
    </nc>
  </rcc>
  <rcc rId="291" sId="4" numFmtId="4">
    <nc r="C23">
      <v>-9914</v>
    </nc>
  </rcc>
  <rcc rId="292" sId="4" numFmtId="4">
    <nc r="D23">
      <v>-6516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" sId="4" numFmtId="4">
    <nc r="C24">
      <v>154</v>
    </nc>
  </rcc>
  <rcc rId="294" sId="4" numFmtId="4">
    <nc r="D24">
      <v>130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" sId="7" numFmtId="4">
    <oc r="C85">
      <v>16730</v>
    </oc>
    <nc r="C85">
      <v>17832</v>
    </nc>
  </rcc>
  <rcc rId="296" sId="7" numFmtId="4">
    <oc r="C89">
      <v>115627</v>
    </oc>
    <nc r="C89">
      <v>143415</v>
    </nc>
  </rcc>
  <rcc rId="297" sId="7" numFmtId="4">
    <oc r="C90">
      <v>780</v>
    </oc>
    <nc r="C90">
      <v>1116</v>
    </nc>
  </rcc>
  <rcc rId="298" sId="7" numFmtId="4">
    <oc r="C91">
      <v>12443</v>
    </oc>
    <nc r="C91">
      <v>13205</v>
    </nc>
  </rcc>
  <rcc rId="299" sId="7" numFmtId="4">
    <oc r="C96">
      <v>2975</v>
    </oc>
    <nc r="C96">
      <v>2912</v>
    </nc>
  </rcc>
  <rcc rId="300" sId="7" numFmtId="4">
    <oc r="C97">
      <v>45783</v>
    </oc>
    <nc r="C97">
      <v>34008</v>
    </nc>
  </rcc>
  <rcc rId="301" sId="7" numFmtId="4">
    <oc r="C93">
      <v>1509</v>
    </oc>
    <nc r="C93">
      <v>2869</v>
    </nc>
  </rcc>
  <rcc rId="302" sId="7" numFmtId="4">
    <oc r="C94">
      <v>4146</v>
    </oc>
    <nc r="C94">
      <v>5870</v>
    </nc>
  </rcc>
  <rcc rId="303" sId="7">
    <oc r="C95">
      <f>963+523+7+69</f>
    </oc>
    <nc r="C95">
      <f>956+916+8+74</f>
    </nc>
  </rcc>
  <rcc rId="304" sId="7" numFmtId="4">
    <nc r="D74">
      <v>6225</v>
    </nc>
  </rcc>
  <rcc rId="305" sId="7" numFmtId="4">
    <nc r="D75">
      <v>2597</v>
    </nc>
  </rcc>
  <rcc rId="306" sId="7" numFmtId="4">
    <nc r="D78">
      <v>281198</v>
    </nc>
  </rcc>
  <rcc rId="307" sId="7" numFmtId="4">
    <nc r="D85">
      <v>17832</v>
    </nc>
  </rcc>
  <rcc rId="308" sId="7" numFmtId="4">
    <nc r="D89">
      <v>143415</v>
    </nc>
  </rcc>
  <rcc rId="309" sId="7" numFmtId="4">
    <nc r="D90">
      <v>1116</v>
    </nc>
  </rcc>
  <rcc rId="310" sId="7" numFmtId="4">
    <nc r="D91">
      <v>13205</v>
    </nc>
  </rcc>
  <rcc rId="311" sId="7" numFmtId="4">
    <nc r="D93">
      <v>2869</v>
    </nc>
  </rcc>
  <rcc rId="312" sId="7" numFmtId="4">
    <nc r="D94">
      <v>5870</v>
    </nc>
  </rcc>
  <rcc rId="313" sId="7" numFmtId="4">
    <nc r="D95">
      <v>1954</v>
    </nc>
  </rcc>
  <rcc rId="314" sId="7" numFmtId="4">
    <nc r="D96">
      <v>2912</v>
    </nc>
  </rcc>
  <rcc rId="315" sId="7" numFmtId="4">
    <nc r="D97">
      <v>34008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" sId="4" numFmtId="4">
    <nc r="C25">
      <v>-1690</v>
    </nc>
  </rcc>
  <rcc rId="317" sId="4" numFmtId="4">
    <nc r="D25">
      <v>-72352</v>
    </nc>
  </rcc>
  <rcc rId="318" sId="4" numFmtId="4">
    <nc r="C26">
      <v>454</v>
    </nc>
  </rcc>
  <rcc rId="319" sId="4" numFmtId="4">
    <nc r="D26">
      <v>13603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" sId="4" numFmtId="4">
    <nc r="C27">
      <v>88</v>
    </nc>
  </rcc>
  <rcc rId="321" sId="4" numFmtId="4">
    <nc r="D27">
      <v>193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" sId="4" numFmtId="4">
    <nc r="D30">
      <v>99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" sId="4" numFmtId="4">
    <nc r="C28">
      <v>-4367</v>
    </nc>
  </rcc>
  <rcc rId="324" sId="4" numFmtId="4">
    <nc r="D28">
      <v>-2843</v>
    </nc>
  </rcc>
  <rcc rId="325" sId="4" numFmtId="4">
    <nc r="D29">
      <v>87</v>
    </nc>
  </rcc>
  <rcc rId="326" sId="4" numFmtId="4">
    <nc r="C29">
      <v>27</v>
    </nc>
  </rcc>
  <rcc rId="327" sId="4" numFmtId="4">
    <oc r="D25">
      <v>-72352</v>
    </oc>
    <nc r="D25">
      <v>-70662</v>
    </nc>
  </rcc>
  <rcc rId="328" sId="4" numFmtId="4">
    <nc r="C37">
      <v>22468</v>
    </nc>
  </rcc>
  <rcc rId="329" sId="4" numFmtId="4">
    <nc r="D37">
      <v>56533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" sId="4" numFmtId="4">
    <nc r="C38">
      <v>-7648</v>
    </nc>
  </rcc>
  <rcc rId="331" sId="4" numFmtId="4">
    <nc r="D38">
      <v>-12325</v>
    </nc>
  </rcc>
  <rcc rId="332" sId="4" numFmtId="4">
    <nc r="C39">
      <v>-3675</v>
    </nc>
  </rcc>
  <rcc rId="333" sId="4" numFmtId="4">
    <nc r="D39">
      <v>-2963</v>
    </nc>
  </rcc>
  <rcc rId="334" sId="4" numFmtId="4">
    <nc r="C40">
      <v>-304</v>
    </nc>
  </rcc>
  <rcc rId="335" sId="4" numFmtId="4">
    <nc r="D40">
      <v>-301</v>
    </nc>
  </rcc>
  <rcc rId="336" sId="4" numFmtId="4">
    <nc r="C41">
      <v>-512</v>
    </nc>
  </rcc>
  <rcc rId="337" sId="4" numFmtId="4">
    <nc r="D41">
      <v>-29</v>
    </nc>
  </rcc>
  <rcc rId="338" sId="4" numFmtId="4">
    <nc r="C42">
      <v>48612</v>
    </nc>
  </rcc>
  <rcc rId="339" sId="4" numFmtId="4">
    <nc r="D36">
      <v>-2</v>
    </nc>
  </rcc>
  <rcc rId="340" sId="4" numFmtId="4">
    <nc r="D42">
      <v>49223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4" numFmtId="4">
    <oc r="C47">
      <v>27362</v>
    </oc>
    <nc r="C47">
      <v>26471</v>
    </nc>
  </rcc>
  <rcc rId="342" sId="4" numFmtId="4">
    <oc r="C48">
      <v>151</v>
    </oc>
    <nc r="C48">
      <v>153</v>
    </nc>
  </rcc>
  <rcc rId="343" sId="4" numFmtId="4">
    <oc r="C45">
      <v>24129</v>
    </oc>
    <nc r="C45">
      <v>27362</v>
    </nc>
  </rcc>
  <rcc rId="344" sId="4" numFmtId="4">
    <oc r="D45">
      <v>22614</v>
    </oc>
    <nc r="D45">
      <v>24129</v>
    </nc>
  </rcc>
  <rcc rId="345" sId="4" numFmtId="4">
    <oc r="D47">
      <v>24129</v>
    </oc>
    <nc r="D47">
      <v>19852</v>
    </nc>
  </rcc>
  <rcc rId="346" sId="4">
    <oc r="D48">
      <f>444+1009</f>
    </oc>
    <nc r="D48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" sId="7" numFmtId="4">
    <oc r="F59">
      <v>95415</v>
    </oc>
    <nc r="F59">
      <v>99478</v>
    </nc>
  </rcc>
  <rcc rId="348" sId="7">
    <oc r="F78">
      <f>289870-95415</f>
    </oc>
    <nc r="F78">
      <f>294791-99478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6" numFmtId="4">
    <oc r="D11">
      <v>54392</v>
    </oc>
    <nc r="D11">
      <v>60640</v>
    </nc>
  </rcc>
  <rcc rId="2" sId="6" numFmtId="4">
    <oc r="D12">
      <v>180843</v>
    </oc>
    <nc r="D12">
      <v>223768</v>
    </nc>
  </rcc>
  <rcc rId="3" sId="6" numFmtId="4">
    <oc r="D13">
      <v>219022</v>
    </oc>
    <nc r="D13">
      <v>230570</v>
    </nc>
  </rcc>
  <rcc rId="4" sId="6" numFmtId="4">
    <oc r="D14">
      <v>18903</v>
    </oc>
    <nc r="D14">
      <v>21424</v>
    </nc>
  </rcc>
  <rcc rId="5" sId="6" numFmtId="4">
    <oc r="D15">
      <v>20529</v>
    </oc>
    <nc r="D15">
      <v>26024</v>
    </nc>
  </rcc>
  <rcc rId="6" sId="6" numFmtId="4">
    <oc r="D16">
      <f>24199-938-450+938</f>
    </oc>
    <nc r="D16">
      <v>24604</v>
    </nc>
  </rcc>
  <rcc rId="7" sId="6" numFmtId="4">
    <oc r="D17">
      <v>16365</v>
    </oc>
    <nc r="D17">
      <v>29807</v>
    </nc>
  </rcc>
  <rcc rId="8" sId="6" numFmtId="4">
    <oc r="D18">
      <f>450</f>
    </oc>
    <nc r="D18">
      <v>485</v>
    </nc>
  </rcc>
  <rcc rId="9" sId="6">
    <oc r="E11">
      <f>41+29+77+6358</f>
    </oc>
    <nc r="E11"/>
  </rcc>
  <rcc rId="10" sId="6">
    <oc r="F11">
      <f>7+105</f>
    </oc>
    <nc r="F11"/>
  </rcc>
  <rcc rId="11" sId="6">
    <oc r="E12">
      <f>35655+7722+3972+934+2778</f>
    </oc>
    <nc r="E12"/>
  </rcc>
  <rcc rId="12" sId="6">
    <oc r="F12">
      <f>630+813+4706+1795</f>
    </oc>
    <nc r="F12"/>
  </rcc>
  <rcc rId="13" sId="6">
    <oc r="E13">
      <f>7330+19+315+7192</f>
    </oc>
    <nc r="E13"/>
  </rcc>
  <rcc rId="14" sId="6">
    <oc r="F13">
      <f>2812+496</f>
    </oc>
    <nc r="F13"/>
  </rcc>
  <rcc rId="15" sId="6">
    <oc r="E14">
      <f>1761+5+766</f>
    </oc>
    <nc r="E14"/>
  </rcc>
  <rcc rId="16" sId="6">
    <oc r="F14">
      <f>10+1</f>
    </oc>
    <nc r="F14"/>
  </rcc>
  <rcc rId="17" sId="6">
    <oc r="E15">
      <f>2524+3773+240+195+760</f>
    </oc>
    <nc r="E15"/>
  </rcc>
  <rcc rId="18" sId="6">
    <oc r="F15">
      <f>1862+135</f>
    </oc>
    <nc r="F15"/>
  </rcc>
  <rcc rId="19" sId="6">
    <oc r="E16">
      <f>12+1969+174+12+32+204-938+2</f>
    </oc>
    <nc r="E16"/>
  </rcc>
  <rcc rId="20" sId="6">
    <oc r="F16">
      <f>426+185+1</f>
    </oc>
    <nc r="F16"/>
  </rcc>
  <rcc rId="21" sId="6">
    <oc r="E17">
      <f>31162+41+202</f>
    </oc>
    <nc r="E17"/>
  </rcc>
  <rcc rId="22" sId="6">
    <oc r="F17">
      <f>643+1+18256-938+1</f>
    </oc>
    <nc r="F17"/>
  </rcc>
  <rcc rId="23" sId="6" numFmtId="4">
    <oc r="E18">
      <v>35</v>
    </oc>
    <nc r="E18"/>
  </rcc>
  <rcc rId="24" sId="6" numFmtId="4">
    <oc r="D20">
      <v>10427</v>
    </oc>
    <nc r="D20">
      <v>10856</v>
    </nc>
  </rcc>
  <rcc rId="25" sId="6" numFmtId="4">
    <oc r="D21">
      <f>938-938</f>
    </oc>
    <nc r="D21">
      <v>355</v>
    </nc>
  </rcc>
  <rcc rId="26" sId="6" numFmtId="4">
    <oc r="E20">
      <v>22</v>
    </oc>
    <nc r="E20"/>
  </rcc>
  <rcc rId="27" sId="6" numFmtId="4">
    <oc r="E21">
      <v>162</v>
    </oc>
    <nc r="E21"/>
  </rcc>
  <rcc rId="28" sId="6" numFmtId="4">
    <oc r="H20">
      <v>407</v>
    </oc>
    <nc r="H20"/>
  </rcc>
  <rcc rId="29" sId="6">
    <oc r="H21">
      <f>196</f>
    </oc>
    <nc r="H21"/>
  </rcc>
  <rcc rId="30" sId="6" numFmtId="4">
    <oc r="I11">
      <v>145</v>
    </oc>
    <nc r="I11"/>
  </rcc>
  <rcc rId="31" sId="6" numFmtId="4">
    <oc r="I12">
      <v>192</v>
    </oc>
    <nc r="I12"/>
  </rcc>
  <rcc rId="32" sId="6" numFmtId="4">
    <oc r="I21">
      <v>3</v>
    </oc>
    <nc r="I21"/>
  </rcc>
  <rcc rId="33" sId="6" numFmtId="4">
    <oc r="D23">
      <v>68338</v>
    </oc>
    <nc r="D23">
      <v>65759</v>
    </nc>
  </rcc>
  <rcc rId="34" sId="6" numFmtId="4">
    <oc r="D24">
      <v>18613</v>
    </oc>
    <nc r="D24">
      <v>21868</v>
    </nc>
  </rcc>
  <rcc rId="35" sId="6" numFmtId="4">
    <oc r="D26">
      <v>5659</v>
    </oc>
    <nc r="D26">
      <v>7378</v>
    </nc>
  </rcc>
  <rcc rId="36" sId="6" numFmtId="4">
    <oc r="D31">
      <v>44</v>
    </oc>
    <nc r="D31"/>
  </rcc>
  <rcc rId="37" sId="6" numFmtId="4">
    <oc r="E31">
      <v>2</v>
    </oc>
    <nc r="E31"/>
  </rcc>
  <rcc rId="38" sId="6" numFmtId="4">
    <oc r="F31">
      <v>46</v>
    </oc>
    <nc r="F31"/>
  </rcc>
  <rcc rId="39" sId="6">
    <oc r="E32">
      <f>192+44546</f>
    </oc>
    <nc r="E32"/>
  </rcc>
  <rcc rId="40" sId="6" numFmtId="4">
    <oc r="F32">
      <v>2092</v>
    </oc>
    <nc r="F32"/>
  </rcc>
  <rcc rId="41" sId="6" numFmtId="4">
    <oc r="E33">
      <v>2175</v>
    </oc>
    <nc r="E33"/>
  </rcc>
  <rcc rId="42" sId="6" numFmtId="4">
    <oc r="F33">
      <v>634</v>
    </oc>
    <nc r="F33"/>
  </rcc>
  <rcc rId="43" sId="6" numFmtId="4">
    <oc r="D32">
      <v>20339</v>
    </oc>
    <nc r="D32">
      <v>62985</v>
    </nc>
  </rcc>
  <rcc rId="44" sId="6" numFmtId="4">
    <oc r="D33">
      <v>8598</v>
    </oc>
    <nc r="D33">
      <v>10079</v>
    </nc>
  </rcc>
  <rcc rId="45" sId="6" numFmtId="4">
    <oc r="D41">
      <v>33653</v>
    </oc>
    <nc r="D41">
      <v>30302</v>
    </nc>
  </rcc>
  <rcc rId="46" sId="6">
    <oc r="E41">
      <f>394+112</f>
    </oc>
    <nc r="E41"/>
  </rcc>
  <rcc rId="47" sId="6">
    <oc r="F41">
      <f>86+3771</f>
    </oc>
    <nc r="F41"/>
  </rcc>
  <rcc rId="48" sId="6" numFmtId="4">
    <oc r="K11">
      <v>0</v>
    </oc>
    <nc r="K11">
      <v>1</v>
    </nc>
  </rcc>
  <rcc rId="49" sId="6" numFmtId="4">
    <oc r="K12">
      <v>51658</v>
    </oc>
    <nc r="K12">
      <v>66186</v>
    </nc>
  </rcc>
  <rcc rId="50" sId="6" numFmtId="4">
    <oc r="K13">
      <v>124102</v>
    </oc>
    <nc r="K13">
      <v>133877</v>
    </nc>
  </rcc>
  <rcc rId="51" sId="6" numFmtId="4">
    <oc r="K14">
      <v>6377</v>
    </oc>
    <nc r="K14">
      <v>7667</v>
    </nc>
  </rcc>
  <rcc rId="52" sId="6" numFmtId="4">
    <oc r="K15">
      <v>12766</v>
    </oc>
    <nc r="K15">
      <v>14884</v>
    </nc>
  </rcc>
  <rcc rId="53" sId="6" numFmtId="4">
    <oc r="K16">
      <f>14825-24</f>
    </oc>
    <nc r="K16">
      <v>16338</v>
    </nc>
  </rcc>
  <rcc rId="54" sId="6" numFmtId="4">
    <nc r="K17">
      <v>0</v>
    </nc>
  </rcc>
  <rcc rId="55" sId="6" numFmtId="4">
    <oc r="K18">
      <v>24</v>
    </oc>
    <nc r="K18">
      <v>99</v>
    </nc>
  </rcc>
  <rcc rId="56" sId="6" numFmtId="4">
    <oc r="L11">
      <v>1</v>
    </oc>
    <nc r="L11"/>
  </rcc>
  <rcc rId="57" sId="6">
    <oc r="L12">
      <f>12404+3671</f>
    </oc>
    <nc r="L12"/>
  </rcc>
  <rcc rId="58" sId="6">
    <oc r="M12">
      <f>348+146+53+437+515+1</f>
    </oc>
    <nc r="M12"/>
  </rcc>
  <rcc rId="59" sId="6" numFmtId="4">
    <oc r="L13">
      <v>12783</v>
    </oc>
    <nc r="L13"/>
  </rcc>
  <rcc rId="60" sId="6">
    <oc r="M13">
      <f>220+2583+205</f>
    </oc>
    <nc r="M13"/>
  </rcc>
  <rcc rId="61" sId="6">
    <oc r="L14">
      <f>1295</f>
    </oc>
    <nc r="L14"/>
  </rcc>
  <rcc rId="62" sId="6">
    <oc r="M14">
      <f>6-1</f>
    </oc>
    <nc r="M14"/>
  </rcc>
  <rcc rId="63" sId="6">
    <oc r="L15">
      <f>3111+598</f>
    </oc>
    <nc r="L15"/>
  </rcc>
  <rcc rId="64" sId="6">
    <oc r="M15">
      <f>101+1437+53</f>
    </oc>
    <nc r="M15"/>
  </rcc>
  <rcc rId="65" sId="6">
    <oc r="L16">
      <f>1992+29-57</f>
    </oc>
    <nc r="L16"/>
  </rcc>
  <rcc rId="66" sId="6">
    <oc r="M16">
      <f>22+429+33-57</f>
    </oc>
    <nc r="M16"/>
  </rcc>
  <rcc rId="67" sId="6">
    <oc r="L18">
      <f>18+57</f>
    </oc>
    <nc r="L18"/>
  </rcc>
  <rcc rId="68" sId="6">
    <oc r="P12">
      <f>48-1</f>
    </oc>
    <nc r="P12"/>
  </rcc>
  <rcc rId="69" sId="6">
    <oc r="L23">
      <f>6435+202</f>
    </oc>
    <nc r="L23"/>
  </rcc>
  <rcc rId="70" sId="6">
    <oc r="M23">
      <f>593+513</f>
    </oc>
    <nc r="M23"/>
  </rcc>
  <rcc rId="71" sId="6">
    <oc r="L24">
      <f>1885+1</f>
    </oc>
    <nc r="L24"/>
  </rcc>
  <rcc rId="72" sId="6">
    <oc r="M24">
      <f>19+78</f>
    </oc>
    <nc r="M24"/>
  </rcc>
  <rcc rId="73" sId="6" numFmtId="4">
    <oc r="L26">
      <v>41</v>
    </oc>
    <nc r="L26"/>
  </rcc>
  <rcc rId="74" sId="6" numFmtId="4">
    <oc r="K23">
      <v>18570</v>
    </oc>
    <nc r="K23">
      <v>38501</v>
    </nc>
  </rcc>
  <rcc rId="75" sId="6" numFmtId="4">
    <oc r="K24">
      <v>9524</v>
    </oc>
    <nc r="K24">
      <v>11313</v>
    </nc>
  </rcc>
  <rcc rId="76" sId="6" numFmtId="4">
    <oc r="K26">
      <v>2321</v>
    </oc>
    <nc r="K26">
      <v>2362</v>
    </nc>
  </rcc>
  <rcc rId="77" sId="6" numFmtId="4">
    <oc r="O23">
      <v>14400</v>
    </oc>
    <nc r="O23"/>
  </rcc>
  <rcc rId="78" sId="6" numFmtId="4">
    <oc r="K41">
      <v>10137</v>
    </oc>
    <nc r="K41">
      <v>14393</v>
    </nc>
  </rcc>
  <rcc rId="79" sId="6" numFmtId="4">
    <oc r="O41">
      <v>4256</v>
    </oc>
    <nc r="O41"/>
  </rcc>
  <rcc rId="80" sId="6" numFmtId="4">
    <oc r="I33">
      <v>60</v>
    </oc>
    <nc r="I33"/>
  </rcc>
  <rcc rId="81" sId="6">
    <oc r="E23">
      <f>74+1241+762</f>
    </oc>
    <nc r="E23"/>
  </rcc>
  <rcc rId="82" sId="6">
    <oc r="F23">
      <f>1163+2863+630</f>
    </oc>
    <nc r="F23"/>
  </rcc>
  <rcc rId="83" sId="6">
    <oc r="E24">
      <f>1138+7+2233</f>
    </oc>
    <nc r="E24"/>
  </rcc>
  <rcc rId="84" sId="6">
    <oc r="F24">
      <f>45+78</f>
    </oc>
    <nc r="F24"/>
  </rcc>
  <rcc rId="85" sId="6">
    <oc r="E26">
      <f>2895+3</f>
    </oc>
    <nc r="E26"/>
  </rcc>
  <rcc rId="86" sId="6">
    <oc r="F26">
      <f>2+1070+106+1</f>
    </oc>
    <nc r="F26"/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4" numFmtId="4">
    <nc r="D48">
      <v>438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6" numFmtId="4">
    <nc r="I33">
      <v>875</v>
    </nc>
  </rcc>
  <rcc rId="381" sId="6" numFmtId="4">
    <nc r="E33">
      <v>3802</v>
    </nc>
  </rcc>
  <rcc rId="382" sId="6" numFmtId="4">
    <nc r="F33">
      <v>28</v>
    </nc>
  </rcc>
  <rcc rId="383" sId="6" numFmtId="4">
    <nc r="E32">
      <v>547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" sId="9" numFmtId="4">
    <oc r="C13">
      <v>6929173</v>
    </oc>
    <nc r="C13">
      <v>6982826</v>
    </nc>
  </rcc>
  <rcc rId="395" sId="9">
    <oc r="F13">
      <f>71067+125</f>
    </oc>
    <nc r="F13">
      <f>72451+359</f>
    </nc>
  </rcc>
  <rcc rId="396" sId="9" numFmtId="4">
    <oc r="H13">
      <v>125</v>
    </oc>
    <nc r="H13">
      <v>359</v>
    </nc>
  </rcc>
  <rcc rId="397" sId="10">
    <oc r="F13">
      <f>1587-104</f>
    </oc>
    <nc r="F13">
      <f>1286+301</f>
    </nc>
  </rcc>
  <rcc rId="398" sId="10" numFmtId="4">
    <oc r="G13">
      <v>104</v>
    </oc>
    <nc r="G13"/>
  </rcc>
  <rcc rId="399" sId="10" numFmtId="4">
    <nc r="H13">
      <v>301</v>
    </nc>
  </rcc>
  <rcc rId="400" sId="11" numFmtId="4">
    <oc r="F17">
      <v>366</v>
    </oc>
    <nc r="F17">
      <v>2750</v>
    </nc>
  </rcc>
  <rcc rId="401" sId="12">
    <oc r="F13">
      <f>44+39</f>
    </oc>
    <nc r="F13">
      <f>23+21</f>
    </nc>
  </rcc>
  <rcc rId="402" sId="12" numFmtId="4">
    <oc r="H13">
      <v>39</v>
    </oc>
    <nc r="H13">
      <v>21</v>
    </nc>
  </rcc>
  <rcc rId="403" sId="8">
    <oc r="H13">
      <f>+'Справка 8.1 България'!H13-'Справка 8.2 Латвия'!G13+'Справка 8.3 Беларус'!H13+'Справка 8.4 САЩ'!H13</f>
    </oc>
    <nc r="H13">
      <f>+'Справка 8.1 България'!H13+'Справка 8.2 Латвия'!H13+'Справка 8.4 САЩ'!H13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6" numFmtId="4">
    <oc r="I33">
      <v>875</v>
    </oc>
    <nc r="I33">
      <v>681</v>
    </nc>
  </rcc>
  <rcc rId="405" sId="6" numFmtId="4">
    <oc r="F33">
      <v>28</v>
    </oc>
    <nc r="F33">
      <f>28+194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3" numFmtId="4">
    <nc r="G43">
      <v>2379</v>
    </nc>
  </rcc>
  <rcc rId="417" sId="5" numFmtId="4">
    <oc r="E28">
      <f>875+416</f>
    </oc>
    <nc r="E28">
      <v>681</v>
    </nc>
  </rcc>
  <rcc rId="418" sId="5">
    <oc r="E30">
      <f>-189+80</f>
    </oc>
    <nc r="E30">
      <f>-189+80-416-194</f>
    </nc>
  </rcc>
  <rcc rId="419" sId="7" numFmtId="4">
    <oc r="C106">
      <v>33</v>
    </oc>
    <nc r="C106">
      <v>2</v>
    </nc>
  </rcc>
  <rcc rId="420" sId="7" numFmtId="4">
    <oc r="E106">
      <v>31</v>
    </oc>
    <nc r="E106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" sId="1" numFmtId="19">
    <oc r="B11">
      <v>43978</v>
    </oc>
    <nc r="B11">
      <v>43980</v>
    </nc>
  </rcc>
  <rcc rId="432" sId="2" numFmtId="4">
    <oc r="C26">
      <v>0</v>
    </oc>
    <nc r="C26"/>
  </rcc>
  <rcc rId="433" sId="2" numFmtId="4">
    <oc r="C51">
      <f>11224-6919</f>
    </oc>
    <nc r="C51">
      <v>4305</v>
    </nc>
  </rcc>
  <rcc rId="434" sId="2" numFmtId="4">
    <oc r="C60">
      <f>25547+8884</f>
    </oc>
    <nc r="C60">
      <v>34431</v>
    </nc>
  </rcc>
  <rcc rId="435" sId="2" numFmtId="4">
    <oc r="C75">
      <f>5734+3597+502+9+576+1462</f>
    </oc>
    <nc r="C75">
      <v>11880</v>
    </nc>
  </rcc>
  <rcc rId="436" sId="2" numFmtId="4">
    <oc r="C89">
      <f>19723-166+5400+38</f>
    </oc>
    <nc r="C89">
      <v>24995</v>
    </nc>
  </rcc>
  <rcc rId="437" sId="2" numFmtId="4">
    <oc r="G21">
      <f>28682+2078+3662</f>
    </oc>
    <nc r="G21">
      <v>34422</v>
    </nc>
  </rcc>
  <rcc rId="438" sId="2" numFmtId="4">
    <oc r="G29">
      <f>371639-10797</f>
    </oc>
    <nc r="G29">
      <v>360842</v>
    </nc>
  </rcc>
  <rcc rId="439" sId="2" numFmtId="4">
    <oc r="G49">
      <f>25167+3933</f>
    </oc>
    <nc r="G49">
      <v>29100</v>
    </nc>
  </rcc>
  <rcc rId="440" sId="2" numFmtId="4">
    <oc r="G69">
      <f>13534+10261+10213</f>
    </oc>
    <nc r="G69">
      <v>34008</v>
    </nc>
  </rcc>
  <rcc rId="441" sId="3" numFmtId="4">
    <oc r="C15">
      <f>26050+815+804+80</f>
    </oc>
    <nc r="C15">
      <v>27749</v>
    </nc>
  </rcc>
  <rcc rId="442" sId="3" numFmtId="4">
    <oc r="C16">
      <f>4863+159</f>
    </oc>
    <nc r="C16">
      <v>5022</v>
    </nc>
  </rcc>
  <rcc rId="443" sId="3" numFmtId="4">
    <oc r="C20">
      <f>-257+109</f>
    </oc>
    <nc r="C20">
      <v>-148</v>
    </nc>
  </rcc>
  <rcc rId="444" sId="3" numFmtId="4">
    <oc r="C25">
      <f>2285+367+129</f>
    </oc>
    <nc r="C25">
      <v>2781</v>
    </nc>
  </rcc>
  <rcc rId="445" sId="3" numFmtId="4">
    <oc r="C27">
      <f>4392+997</f>
    </oc>
    <nc r="C27">
      <v>5389</v>
    </nc>
  </rcc>
  <rcc rId="446" sId="3" numFmtId="4">
    <oc r="G14">
      <f>1237+228+123</f>
    </oc>
    <nc r="G14">
      <v>1588</v>
    </nc>
  </rcc>
  <rcc rId="447" sId="3" numFmtId="4">
    <oc r="G15">
      <f>82+59+365</f>
    </oc>
    <nc r="G15">
      <v>506</v>
    </nc>
  </rcc>
  <rcc rId="448" sId="3" numFmtId="4">
    <oc r="G22">
      <f>835+320+8+3</f>
    </oc>
    <nc r="G22">
      <v>1166</v>
    </nc>
  </rcc>
  <rcc rId="449" sId="5" numFmtId="4">
    <oc r="E30">
      <f>-189+80-416-194</f>
    </oc>
    <nc r="E30">
      <v>-719</v>
    </nc>
  </rcc>
  <rcc rId="450" sId="5" numFmtId="4">
    <oc r="I30">
      <f>109+77</f>
    </oc>
    <nc r="I30">
      <v>186</v>
    </nc>
  </rcc>
  <rcc rId="451" sId="5" numFmtId="4">
    <oc r="M30">
      <f>2929-630</f>
    </oc>
    <nc r="M30">
      <v>2299</v>
    </nc>
  </rcc>
  <rcc rId="452" sId="6" numFmtId="4">
    <oc r="F33">
      <f>28+194</f>
    </oc>
    <nc r="F33">
      <v>222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7" numFmtId="4">
    <oc r="C39">
      <f>6524+1</f>
    </oc>
    <nc r="C39">
      <v>6525</v>
    </nc>
  </rcc>
  <rcc rId="454" sId="7" numFmtId="4">
    <oc r="C74">
      <f>2039+1903+1902+381</f>
    </oc>
    <nc r="C74">
      <v>6225</v>
    </nc>
  </rcc>
  <rcc rId="455" sId="7" numFmtId="4">
    <oc r="C95">
      <f>956+916+8+74</f>
    </oc>
    <nc r="C95">
      <v>1954</v>
    </nc>
  </rcc>
  <rcc rId="456" sId="8" numFmtId="4">
    <oc r="C13">
      <f>+'Справка 8.1 България'!C13+'Справка 8.2 Латвия'!C13+'Справка 8.3 Беларус'!C17+'Справка 8.4 САЩ'!C13</f>
    </oc>
    <nc r="C13">
      <v>7127256</v>
    </nc>
  </rcc>
  <rcc rId="457" sId="8" numFmtId="4">
    <oc r="F13">
      <f>+'Справка 8.1 България'!F13+'Справка 8.2 Латвия'!F13+'Справка 8.3 Беларус'!F13+'Справка 8.4 САЩ'!F13</f>
    </oc>
    <nc r="F13">
      <v>74441</v>
    </nc>
  </rcc>
  <rcc rId="458" sId="8" numFmtId="4">
    <oc r="H13">
      <f>+'Справка 8.1 България'!H13+'Справка 8.2 Латвия'!H13+'Справка 8.4 САЩ'!H13</f>
    </oc>
    <nc r="H13">
      <v>681</v>
    </nc>
  </rcc>
  <rcc rId="459" sId="8" numFmtId="4">
    <oc r="F17">
      <f>+'Справка 8.3 Беларус'!F17</f>
    </oc>
    <nc r="F17">
      <v>2750</v>
    </nc>
  </rcc>
  <rcc rId="460" sId="9" numFmtId="4">
    <oc r="F13">
      <f>72451+359</f>
    </oc>
    <nc r="F13">
      <v>72810</v>
    </nc>
  </rcc>
  <rcc rId="461" sId="8" numFmtId="4">
    <oc r="F21">
      <f>+'Справка 8.1 България'!F21</f>
    </oc>
    <nc r="F21">
      <v>34142</v>
    </nc>
  </rcc>
  <rcc rId="462" sId="8" numFmtId="4">
    <oc r="C21">
      <f>+'Справка 8.1 България'!C21</f>
    </oc>
    <nc r="C21">
      <v>9113467</v>
    </nc>
  </rcc>
  <rcc rId="463" sId="10" numFmtId="4">
    <oc r="F13">
      <f>1286+301</f>
    </oc>
    <nc r="F13">
      <v>1587</v>
    </nc>
  </rcc>
  <rcc rId="464" sId="12" numFmtId="4">
    <oc r="F13">
      <f>23+21</f>
    </oc>
    <nc r="F13">
      <v>44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8A1B5DC_DDD3_47B7_ABD4_EC354C41CDDF_.wvu.PrintArea" hidden="1" oldHidden="1">
    <formula>Начална!$A$1:$B$29</formula>
  </rdn>
  <rdn rId="0" localSheetId="2" customView="1" name="Z_78A1B5DC_DDD3_47B7_ABD4_EC354C41CDDF_.wvu.PrintArea" hidden="1" oldHidden="1">
    <formula>'1-Баланс'!$A$1:$H$111</formula>
  </rdn>
  <rdn rId="0" localSheetId="2" customView="1" name="Z_78A1B5DC_DDD3_47B7_ABD4_EC354C41CDDF_.wvu.PrintTitles" hidden="1" oldHidden="1">
    <formula>'1-Баланс'!$9:$9</formula>
  </rdn>
  <rdn rId="0" localSheetId="3" customView="1" name="Z_78A1B5DC_DDD3_47B7_ABD4_EC354C41CDDF_.wvu.PrintArea" hidden="1" oldHidden="1">
    <formula>'2-Отчет за доходите'!$A$1:$H$59</formula>
  </rdn>
  <rdn rId="0" localSheetId="4" customView="1" name="Z_78A1B5DC_DDD3_47B7_ABD4_EC354C41CDDF_.wvu.FilterData" hidden="1" oldHidden="1">
    <formula>'3-Отчет за паричния поток'!$A$9:$D$48</formula>
  </rdn>
  <rdn rId="0" localSheetId="5" customView="1" name="Z_78A1B5DC_DDD3_47B7_ABD4_EC354C41CDDF_.wvu.PrintArea" hidden="1" oldHidden="1">
    <formula>'4-Отчет за собствения капитал'!$A$1:$M$51</formula>
  </rdn>
  <rdn rId="0" localSheetId="6" customView="1" name="Z_78A1B5DC_DDD3_47B7_ABD4_EC354C41CDDF_.wvu.PrintArea" hidden="1" oldHidden="1">
    <formula>'Справка 6'!$A$1:$R$58</formula>
  </rdn>
  <rdn rId="0" localSheetId="13" customView="1" name="Z_78A1B5DC_DDD3_47B7_ABD4_EC354C41CDDF_.wvu.PrintArea" hidden="1" oldHidden="1">
    <formula>Контроли!$A$1:$G$15</formula>
  </rdn>
  <rdn rId="0" localSheetId="14" customView="1" name="Z_78A1B5DC_DDD3_47B7_ABD4_EC354C41CDDF_.wvu.PrintArea" hidden="1" oldHidden="1">
    <formula>Показатели!$A$1:$D$24</formula>
  </rdn>
  <rdn rId="0" localSheetId="15" customView="1" name="Z_78A1B5DC_DDD3_47B7_ABD4_EC354C41CDDF_.wvu.FilterData" hidden="1" oldHidden="1">
    <formula>Danni!$A$1:$H$1294</formula>
  </rdn>
  <rcv guid="{78A1B5DC-DDD3-47B7-ABD4-EC354C41CDD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S11" start="0" length="0">
    <dxf>
      <numFmt numFmtId="3" formatCode="#,##0"/>
    </dxf>
  </rfmt>
  <rfmt sheetId="6" sqref="S12" start="0" length="0">
    <dxf>
      <numFmt numFmtId="3" formatCode="#,##0"/>
    </dxf>
  </rfmt>
  <rfmt sheetId="6" sqref="S13" start="0" length="0">
    <dxf>
      <numFmt numFmtId="3" formatCode="#,##0"/>
    </dxf>
  </rfmt>
  <rfmt sheetId="6" sqref="S14" start="0" length="0">
    <dxf>
      <numFmt numFmtId="3" formatCode="#,##0"/>
    </dxf>
  </rfmt>
  <rfmt sheetId="6" sqref="S15" start="0" length="0">
    <dxf>
      <numFmt numFmtId="3" formatCode="#,##0"/>
    </dxf>
  </rfmt>
  <rfmt sheetId="6" sqref="S16" start="0" length="0">
    <dxf>
      <numFmt numFmtId="3" formatCode="#,##0"/>
    </dxf>
  </rfmt>
  <rfmt sheetId="6" sqref="S17" start="0" length="0">
    <dxf>
      <numFmt numFmtId="3" formatCode="#,##0"/>
    </dxf>
  </rfmt>
  <rfmt sheetId="6" sqref="S18" start="0" length="0">
    <dxf>
      <numFmt numFmtId="3" formatCode="#,##0"/>
    </dxf>
  </rfmt>
  <rfmt sheetId="6" sqref="S19" start="0" length="0">
    <dxf>
      <numFmt numFmtId="3" formatCode="#,##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5" numFmtId="4">
    <oc r="I28">
      <v>-1291</v>
    </oc>
    <nc r="I28"/>
  </rcc>
  <rcc rId="98" sId="2" numFmtId="4">
    <oc r="G32">
      <v>8418</v>
    </oc>
    <nc r="G32">
      <v>10797</v>
    </nc>
  </rcc>
  <rcc rId="99" sId="2">
    <oc r="G29">
      <f>371639-8418</f>
    </oc>
    <nc r="G29">
      <f>371639-10797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6" numFmtId="4">
    <nc r="E11">
      <v>49</v>
    </nc>
  </rcc>
  <rcc rId="101" sId="6" numFmtId="4">
    <nc r="F11">
      <v>50</v>
    </nc>
  </rcc>
  <rcc rId="102" sId="6" numFmtId="4">
    <nc r="E12">
      <v>2519</v>
    </nc>
  </rcc>
  <rcc rId="103" sId="6" numFmtId="4">
    <nc r="F12">
      <v>2033</v>
    </nc>
  </rcc>
  <rcc rId="104" sId="6" numFmtId="4">
    <nc r="E13">
      <v>6086</v>
    </nc>
  </rcc>
  <rcc rId="105" sId="6" numFmtId="4">
    <nc r="F13">
      <v>479</v>
    </nc>
  </rcc>
  <rcc rId="106" sId="6" numFmtId="4">
    <nc r="E14">
      <v>562</v>
    </nc>
  </rcc>
  <rcc rId="107" sId="6" numFmtId="4">
    <nc r="F14">
      <v>1</v>
    </nc>
  </rcc>
  <rcc rId="108" sId="6" numFmtId="4">
    <nc r="E15">
      <v>1474</v>
    </nc>
  </rcc>
  <rcc rId="109" sId="6" numFmtId="4">
    <nc r="F15">
      <v>988</v>
    </nc>
  </rcc>
  <rcc rId="110" sId="6" numFmtId="4">
    <nc r="E16">
      <v>397</v>
    </nc>
  </rcc>
  <rcc rId="111" sId="6" numFmtId="4">
    <nc r="F16">
      <v>563</v>
    </nc>
  </rcc>
  <rcc rId="112" sId="6" numFmtId="4">
    <nc r="F18">
      <v>40</v>
    </nc>
  </rcc>
  <rcc rId="113" sId="6" numFmtId="4">
    <nc r="E17">
      <v>6968</v>
    </nc>
  </rcc>
  <rcc rId="114" sId="6" numFmtId="4">
    <nc r="F17">
      <v>6680</v>
    </nc>
  </rcc>
  <rcc rId="115" sId="6" numFmtId="4">
    <nc r="L11">
      <v>2</v>
    </nc>
  </rcc>
  <rcc rId="116" sId="6" numFmtId="4">
    <nc r="L12">
      <v>4609</v>
    </nc>
  </rcc>
  <rcc rId="117" sId="6" numFmtId="4">
    <nc r="M12">
      <v>124</v>
    </nc>
  </rcc>
  <rcc rId="118" sId="6" numFmtId="4">
    <nc r="L13">
      <v>3379</v>
    </nc>
  </rcc>
  <rcc rId="119" sId="6" numFmtId="4">
    <nc r="M13">
      <v>156</v>
    </nc>
  </rcc>
  <rcc rId="120" sId="6" numFmtId="4">
    <nc r="L14">
      <v>259</v>
    </nc>
  </rcc>
  <rcc rId="121" sId="6" numFmtId="4">
    <nc r="L15">
      <v>1159</v>
    </nc>
  </rcc>
  <rcc rId="122" sId="6" numFmtId="4">
    <nc r="M15">
      <v>558</v>
    </nc>
  </rcc>
  <rcc rId="123" sId="6" numFmtId="4">
    <nc r="L16">
      <v>570</v>
    </nc>
  </rcc>
  <rcc rId="124" sId="6" numFmtId="4">
    <nc r="M16">
      <v>488</v>
    </nc>
  </rcc>
  <rcc rId="125" sId="6" numFmtId="4">
    <nc r="L21">
      <v>8</v>
    </nc>
  </rcc>
  <rcc rId="126" sId="6" numFmtId="4">
    <nc r="L18">
      <v>12</v>
    </nc>
  </rcc>
  <rcc rId="127" sId="6" numFmtId="4">
    <nc r="M18">
      <v>10</v>
    </nc>
  </rcc>
  <rcc rId="128" sId="6" numFmtId="4">
    <nc r="E23">
      <v>13</v>
    </nc>
  </rcc>
  <rcc rId="129" sId="6" numFmtId="4">
    <nc r="F23">
      <v>13</v>
    </nc>
  </rcc>
  <rcc rId="130" sId="6" numFmtId="4">
    <nc r="L23">
      <v>1171</v>
    </nc>
  </rcc>
  <rcc rId="131" sId="6" numFmtId="4">
    <nc r="M23">
      <v>1</v>
    </nc>
  </rcc>
  <rcc rId="132" sId="6" numFmtId="4">
    <nc r="F41">
      <v>228</v>
    </nc>
  </rcc>
  <rcc rId="133" sId="6" numFmtId="4">
    <nc r="E24">
      <v>254</v>
    </nc>
  </rcc>
  <rcc rId="134" sId="6" numFmtId="4">
    <nc r="F24">
      <v>17</v>
    </nc>
  </rcc>
  <rcc rId="135" sId="6" numFmtId="4">
    <nc r="L24">
      <v>538</v>
    </nc>
  </rcc>
  <rcc rId="136" sId="6" numFmtId="4">
    <nc r="E20">
      <v>421</v>
    </nc>
  </rcc>
  <rfmt sheetId="6" sqref="U26" start="0" length="0">
    <dxf>
      <numFmt numFmtId="3" formatCode="#,##0"/>
    </dxf>
  </rfmt>
  <rfmt sheetId="6" sqref="X26" start="0" length="0">
    <dxf>
      <numFmt numFmtId="3" formatCode="#,##0"/>
    </dxf>
  </rfmt>
  <rcc rId="137" sId="6" numFmtId="4">
    <nc r="E26">
      <f>330-1</f>
    </nc>
  </rcc>
  <rcc rId="138" sId="6" numFmtId="4">
    <nc r="F26">
      <f>220-1</f>
    </nc>
  </rcc>
  <rcc rId="139" sId="2" numFmtId="4">
    <oc r="C12">
      <v>377184</v>
    </oc>
    <nc r="C12">
      <v>60636</v>
    </nc>
  </rcc>
  <rcc rId="140" sId="2" numFmtId="4">
    <nc r="C13">
      <v>153583</v>
    </nc>
  </rcc>
  <rcc rId="141" sId="2" numFmtId="4">
    <nc r="C14">
      <v>99077</v>
    </nc>
  </rcc>
  <rcc rId="142" sId="2" numFmtId="4">
    <nc r="C15">
      <v>14059</v>
    </nc>
  </rcc>
  <rcc rId="143" sId="2" numFmtId="4">
    <nc r="C16">
      <v>11025</v>
    </nc>
  </rcc>
  <rcc rId="144" sId="2" numFmtId="4">
    <nc r="C17">
      <v>8018</v>
    </nc>
  </rcc>
  <rcc rId="145" sId="2" numFmtId="4">
    <nc r="C18">
      <v>30095</v>
    </nc>
  </rcc>
  <rcc rId="146" sId="2" numFmtId="4">
    <nc r="C19">
      <v>344</v>
    </nc>
  </rcc>
  <rcc rId="147" sId="2" numFmtId="4">
    <nc r="C22">
      <v>347</v>
    </nc>
  </rcc>
  <rcc rId="148" sId="2" numFmtId="4">
    <oc r="C24">
      <v>41468</v>
    </oc>
    <nc r="C24">
      <v>26088</v>
    </nc>
  </rcc>
  <rcc rId="149" sId="2" numFmtId="4">
    <nc r="C25">
      <v>10254</v>
    </nc>
  </rcc>
  <rcc rId="150" sId="2" numFmtId="4">
    <nc r="C26">
      <v>0</v>
    </nc>
  </rcc>
  <rcc rId="151" sId="2" numFmtId="4">
    <nc r="C27">
      <v>5126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6" numFmtId="4">
    <oc r="E26">
      <f>330-1</f>
    </oc>
    <nc r="E26">
      <v>329</v>
    </nc>
  </rcc>
  <rcc rId="163" sId="6" numFmtId="4">
    <oc r="F26">
      <f>220-1</f>
    </oc>
    <nc r="F26">
      <v>219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" sId="4" numFmtId="4">
    <oc r="C11">
      <v>1215433</v>
    </oc>
    <nc r="C11"/>
  </rcc>
  <rcc rId="165" sId="4" numFmtId="4">
    <oc r="D11">
      <v>1201720</v>
    </oc>
    <nc r="D11"/>
  </rcc>
  <rcc rId="166" sId="4" numFmtId="4">
    <oc r="C12">
      <v>-1143957</v>
    </oc>
    <nc r="C12"/>
  </rcc>
  <rcc rId="167" sId="4" numFmtId="4">
    <oc r="D12">
      <v>-1142091</v>
    </oc>
    <nc r="D12"/>
  </rcc>
  <rcc rId="168" sId="4" numFmtId="4">
    <oc r="C14">
      <v>-120315</v>
    </oc>
    <nc r="C14"/>
  </rcc>
  <rcc rId="169" sId="4" numFmtId="4">
    <oc r="D14">
      <v>-110689</v>
    </oc>
    <nc r="D14"/>
  </rcc>
  <rcc rId="170" sId="4" numFmtId="4">
    <oc r="C15">
      <v>-62089</v>
    </oc>
    <nc r="C15"/>
  </rcc>
  <rcc rId="171" sId="4" numFmtId="4">
    <oc r="D15">
      <v>-56168</v>
    </oc>
    <nc r="D15"/>
  </rcc>
  <rcc rId="172" sId="4" numFmtId="4">
    <oc r="C16">
      <v>-8538</v>
    </oc>
    <nc r="C16"/>
  </rcc>
  <rcc rId="173" sId="4" numFmtId="4">
    <oc r="D16">
      <v>-8180</v>
    </oc>
    <nc r="D16"/>
  </rcc>
  <rcc rId="174" sId="4" numFmtId="4">
    <oc r="C18">
      <v>-7988</v>
    </oc>
    <nc r="C18"/>
  </rcc>
  <rcc rId="175" sId="4" numFmtId="4">
    <oc r="D18">
      <v>-6219</v>
    </oc>
    <nc r="D18"/>
  </rcc>
  <rcc rId="176" sId="4" numFmtId="4">
    <oc r="C19">
      <v>225</v>
    </oc>
    <nc r="C19"/>
  </rcc>
  <rcc rId="177" sId="4" numFmtId="4">
    <oc r="D19">
      <v>-860</v>
    </oc>
    <nc r="D19"/>
  </rcc>
  <rcc rId="178" sId="4" numFmtId="4">
    <oc r="C20">
      <v>-1215</v>
    </oc>
    <nc r="C20"/>
  </rcc>
  <rcc rId="179" sId="4" numFmtId="4">
    <oc r="D20">
      <v>-1297</v>
    </oc>
    <nc r="D20"/>
  </rcc>
  <rcc rId="180" sId="4" numFmtId="4">
    <oc r="C23">
      <v>-40364</v>
    </oc>
    <nc r="C23"/>
  </rcc>
  <rcc rId="181" sId="4" numFmtId="4">
    <oc r="D23">
      <v>-27842</v>
    </oc>
    <nc r="D23"/>
  </rcc>
  <rcc rId="182" sId="4" numFmtId="4">
    <oc r="C24">
      <v>1061</v>
    </oc>
    <nc r="C24"/>
  </rcc>
  <rcc rId="183" sId="4" numFmtId="4">
    <oc r="D24">
      <v>630</v>
    </oc>
    <nc r="D24"/>
  </rcc>
  <rcc rId="184" sId="4" numFmtId="4">
    <oc r="C25">
      <v>-99296</v>
    </oc>
    <nc r="C25"/>
  </rcc>
  <rcc rId="185" sId="4" numFmtId="4">
    <oc r="D25">
      <v>-37749</v>
    </oc>
    <nc r="D25"/>
  </rcc>
  <rcc rId="186" sId="4" numFmtId="4">
    <oc r="C26">
      <v>26810</v>
    </oc>
    <nc r="C26"/>
  </rcc>
  <rcc rId="187" sId="4" numFmtId="4">
    <oc r="D26">
      <v>27811</v>
    </oc>
    <nc r="D26"/>
  </rcc>
  <rcc rId="188" sId="4" numFmtId="4">
    <oc r="C27">
      <v>2662</v>
    </oc>
    <nc r="C27"/>
  </rcc>
  <rcc rId="189" sId="4" numFmtId="4">
    <oc r="D27">
      <v>1005</v>
    </oc>
    <nc r="D27"/>
  </rcc>
  <rcc rId="190" sId="4" numFmtId="4">
    <oc r="C28">
      <v>-8241</v>
    </oc>
    <nc r="C28"/>
  </rcc>
  <rcc rId="191" sId="4" numFmtId="4">
    <oc r="D28">
      <v>-5990</v>
    </oc>
    <nc r="D28"/>
  </rcc>
  <rcc rId="192" sId="4" numFmtId="4">
    <oc r="C29">
      <v>12976</v>
    </oc>
    <nc r="C29"/>
  </rcc>
  <rcc rId="193" sId="4" numFmtId="4">
    <oc r="D29">
      <v>914</v>
    </oc>
    <nc r="D29"/>
  </rcc>
  <rcc rId="194" sId="4" numFmtId="4">
    <oc r="C30">
      <v>190</v>
    </oc>
    <nc r="C30"/>
  </rcc>
  <rcc rId="195" sId="4" numFmtId="4">
    <oc r="D30">
      <v>97</v>
    </oc>
    <nc r="D30"/>
  </rcc>
  <rcc rId="196" sId="4" numFmtId="4">
    <oc r="C35">
      <v>655</v>
    </oc>
    <nc r="C35"/>
  </rcc>
  <rcc rId="197" sId="4" numFmtId="4">
    <oc r="D35">
      <v>206</v>
    </oc>
    <nc r="D35"/>
  </rcc>
  <rcc rId="198" sId="4" numFmtId="4">
    <oc r="C36">
      <v>-805</v>
    </oc>
    <nc r="C36"/>
  </rcc>
  <rcc rId="199" sId="4" numFmtId="4">
    <oc r="D36">
      <v>-850</v>
    </oc>
    <nc r="D36"/>
  </rcc>
  <rcc rId="200" sId="4" numFmtId="4">
    <oc r="C37">
      <v>83069</v>
    </oc>
    <nc r="C37"/>
  </rcc>
  <rcc rId="201" sId="4" numFmtId="4">
    <oc r="D37">
      <v>57119</v>
    </oc>
    <nc r="D37"/>
  </rcc>
  <rcc rId="202" sId="4" numFmtId="4">
    <oc r="C38">
      <v>-33789</v>
    </oc>
    <nc r="C38"/>
  </rcc>
  <rcc rId="203" sId="4" numFmtId="4">
    <oc r="D38">
      <v>-17184</v>
    </oc>
    <nc r="D38"/>
  </rcc>
  <rcc rId="204" sId="4" numFmtId="4">
    <oc r="C39">
      <v>-13095</v>
    </oc>
    <nc r="C39"/>
  </rcc>
  <rcc rId="205" sId="4" numFmtId="4">
    <oc r="D39">
      <v>-2205</v>
    </oc>
    <nc r="D39"/>
  </rcc>
  <rcc rId="206" sId="4" numFmtId="4">
    <oc r="C40">
      <v>-1412</v>
    </oc>
    <nc r="C40"/>
  </rcc>
  <rcc rId="207" sId="4" numFmtId="4">
    <oc r="D40">
      <v>-1257</v>
    </oc>
    <nc r="D40"/>
  </rcc>
  <rcc rId="208" sId="4" numFmtId="4">
    <oc r="C41">
      <v>-3495</v>
    </oc>
    <nc r="C41"/>
  </rcc>
  <rcc rId="209" sId="4" numFmtId="4">
    <oc r="D41">
      <v>-22613</v>
    </oc>
    <nc r="D41"/>
  </rcc>
  <rcc rId="210" sId="4" numFmtId="4">
    <oc r="C42">
      <v>204751</v>
    </oc>
    <nc r="C42"/>
  </rcc>
  <rcc rId="211" sId="4" numFmtId="4">
    <oc r="D42">
      <v>153261</v>
    </oc>
    <nc r="D42"/>
  </rcc>
  <rcc rId="212" sId="4" numFmtId="4">
    <oc r="D32">
      <v>-54</v>
    </oc>
    <nc r="D32"/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4" numFmtId="4">
    <nc r="C11">
      <v>322205</v>
    </nc>
  </rcc>
  <rcc rId="224" sId="4" numFmtId="4">
    <nc r="D11">
      <v>321394</v>
    </nc>
  </rcc>
  <rcc rId="225" sId="4" numFmtId="4">
    <nc r="C12">
      <v>-310947</v>
    </nc>
  </rcc>
  <rcc rId="226" sId="4" numFmtId="4">
    <nc r="D12">
      <v>-301467</v>
    </nc>
  </rcc>
  <rcc rId="227" sId="4" numFmtId="4">
    <nc r="C14">
      <v>-31132</v>
    </nc>
  </rcc>
  <rcc rId="228" sId="4" numFmtId="4">
    <nc r="D14">
      <v>-28487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7" numFmtId="4">
    <oc r="C14">
      <v>91605</v>
    </oc>
    <nc r="C14">
      <v>92497</v>
    </nc>
  </rcc>
  <rcc rId="230" sId="7" numFmtId="4">
    <oc r="C23">
      <v>2421</v>
    </oc>
    <nc r="C23">
      <v>1949</v>
    </nc>
  </rcc>
  <rcc rId="231" sId="7" numFmtId="4">
    <oc r="C27">
      <v>6048</v>
    </oc>
    <nc r="C27">
      <v>6929</v>
    </nc>
  </rcc>
  <rcc rId="232" sId="7" numFmtId="4">
    <oc r="C28">
      <v>1064</v>
    </oc>
    <nc r="C28">
      <v>930</v>
    </nc>
  </rcc>
  <rcc rId="233" sId="7" numFmtId="4">
    <oc r="C30">
      <v>245743</v>
    </oc>
    <nc r="C30">
      <v>268151</v>
    </nc>
  </rcc>
  <rcc rId="234" sId="7" numFmtId="4">
    <oc r="C31">
      <v>9917</v>
    </oc>
    <nc r="C31">
      <v>16711</v>
    </nc>
  </rcc>
  <rcc rId="235" sId="7" numFmtId="4">
    <oc r="C32">
      <v>6144</v>
    </oc>
    <nc r="C32">
      <v>5907</v>
    </nc>
  </rcc>
  <rcc rId="236" sId="7" numFmtId="4">
    <oc r="C33">
      <v>2176</v>
    </oc>
    <nc r="C33">
      <v>2101</v>
    </nc>
  </rcc>
  <rcc rId="237" sId="7" numFmtId="4">
    <oc r="C36">
      <v>1334</v>
    </oc>
    <nc r="C36">
      <v>1274</v>
    </nc>
  </rcc>
  <rcc rId="238" sId="7" numFmtId="4">
    <oc r="C37">
      <v>5155</v>
    </oc>
    <nc r="C37">
      <v>6081</v>
    </nc>
  </rcc>
  <rcc rId="239" sId="7">
    <oc r="C39">
      <f>5952+149</f>
    </oc>
    <nc r="C39">
      <f>6524+1</f>
    </nc>
  </rcc>
  <rcc rId="240" sId="7" numFmtId="4">
    <oc r="C44">
      <v>5603</v>
    </oc>
    <nc r="C44">
      <v>11880</v>
    </nc>
  </rcc>
  <rcc rId="241" sId="7" numFmtId="4">
    <oc r="D27">
      <v>6048</v>
    </oc>
    <nc r="D27">
      <v>6929</v>
    </nc>
  </rcc>
  <rcc rId="242" sId="7" numFmtId="4">
    <oc r="D28">
      <v>1064</v>
    </oc>
    <nc r="D28">
      <v>930</v>
    </nc>
  </rcc>
  <rcc rId="243" sId="7" numFmtId="4">
    <oc r="D30">
      <v>245743</v>
    </oc>
    <nc r="D30">
      <v>268151</v>
    </nc>
  </rcc>
  <rcc rId="244" sId="7" numFmtId="4">
    <oc r="D31">
      <v>9917</v>
    </oc>
    <nc r="D31">
      <v>16711</v>
    </nc>
  </rcc>
  <rcc rId="245" sId="7" numFmtId="4">
    <oc r="D32">
      <v>6144</v>
    </oc>
    <nc r="D32">
      <v>5907</v>
    </nc>
  </rcc>
  <rcc rId="246" sId="7" numFmtId="4">
    <oc r="D33">
      <v>2176</v>
    </oc>
    <nc r="D33">
      <v>2101</v>
    </nc>
  </rcc>
  <rcc rId="247" sId="7" numFmtId="4">
    <oc r="D36">
      <v>1334</v>
    </oc>
    <nc r="D36">
      <v>1274</v>
    </nc>
  </rcc>
  <rcc rId="248" sId="7" numFmtId="4">
    <oc r="D37">
      <v>5155</v>
    </oc>
    <nc r="D37">
      <v>6081</v>
    </nc>
  </rcc>
  <rcc rId="249" sId="7" numFmtId="4">
    <oc r="D39">
      <v>6101</v>
    </oc>
    <nc r="D39">
      <v>6525</v>
    </nc>
  </rcc>
  <rcc rId="250" sId="7" numFmtId="4">
    <oc r="D44">
      <v>5603</v>
    </oc>
    <nc r="D44">
      <v>11880</v>
    </nc>
  </rcc>
  <rcc rId="251" sId="7" numFmtId="4">
    <oc r="C57">
      <v>2972</v>
    </oc>
    <nc r="C57">
      <v>2504</v>
    </nc>
  </rcc>
  <rcc rId="252" sId="7" numFmtId="4">
    <oc r="C59">
      <v>56832</v>
    </oc>
    <nc r="C59">
      <v>59339</v>
    </nc>
  </rcc>
  <rcc rId="253" sId="7" numFmtId="4">
    <oc r="C66">
      <v>29882</v>
    </oc>
    <nc r="C66">
      <v>29100</v>
    </nc>
  </rcc>
  <rcc rId="254" sId="7" numFmtId="4">
    <oc r="C67">
      <v>25840</v>
    </oc>
    <nc r="C67">
      <v>25167</v>
    </nc>
  </rcc>
  <rcc rId="255" sId="7" numFmtId="4">
    <oc r="C70">
      <v>8196</v>
    </oc>
    <nc r="C70">
      <v>8093</v>
    </nc>
  </rcc>
  <rcc rId="256" sId="7" numFmtId="4">
    <oc r="C75">
      <v>3107</v>
    </oc>
    <nc r="C75">
      <v>2597</v>
    </nc>
  </rcc>
  <rcc rId="257" sId="7" numFmtId="4">
    <oc r="D74">
      <v>4561</v>
    </oc>
    <nc r="D74"/>
  </rcc>
  <rcc rId="258" sId="7" numFmtId="4">
    <oc r="D75">
      <v>3107</v>
    </oc>
    <nc r="D75"/>
  </rcc>
  <rcc rId="259" sId="7" numFmtId="4">
    <oc r="D78">
      <v>274829</v>
    </oc>
    <nc r="D78"/>
  </rcc>
  <rcc rId="260" sId="7" numFmtId="4">
    <oc r="D85">
      <v>16730</v>
    </oc>
    <nc r="D85"/>
  </rcc>
  <rcc rId="261" sId="7" numFmtId="4">
    <oc r="D89">
      <v>115627</v>
    </oc>
    <nc r="D89"/>
  </rcc>
  <rcc rId="262" sId="7" numFmtId="4">
    <oc r="D90">
      <v>780</v>
    </oc>
    <nc r="D90"/>
  </rcc>
  <rcc rId="263" sId="7" numFmtId="4">
    <oc r="D91">
      <v>12443</v>
    </oc>
    <nc r="D91"/>
  </rcc>
  <rcc rId="264" sId="7" numFmtId="4">
    <oc r="D93">
      <v>1509</v>
    </oc>
    <nc r="D93"/>
  </rcc>
  <rcc rId="265" sId="7" numFmtId="4">
    <oc r="D94">
      <v>4146</v>
    </oc>
    <nc r="D94"/>
  </rcc>
  <rcc rId="266" sId="7" numFmtId="4">
    <oc r="D96">
      <v>2975</v>
    </oc>
    <nc r="D96"/>
  </rcc>
  <rcc rId="267" sId="7" numFmtId="4">
    <oc r="D95">
      <v>1562</v>
    </oc>
    <nc r="D95"/>
  </rcc>
  <rcc rId="268" sId="7" numFmtId="4">
    <oc r="D97">
      <v>45783</v>
    </oc>
    <nc r="D97"/>
  </rcc>
  <rcc rId="269" sId="7">
    <oc r="C74">
      <f>2045+1150+1063+299+4</f>
    </oc>
    <nc r="C74">
      <f>2039+1903+1902+381</f>
    </nc>
  </rcc>
  <rcc rId="270" sId="7" numFmtId="4">
    <oc r="C78">
      <v>274829</v>
    </oc>
    <nc r="C78">
      <v>281198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zoomScaleNormal="100" zoomScaleSheetLayoutView="85" workbookViewId="0">
      <selection activeCell="B12" sqref="B12"/>
    </sheetView>
  </sheetViews>
  <sheetFormatPr defaultColWidth="9.140625" defaultRowHeight="15.75"/>
  <cols>
    <col min="1" max="1" width="30.7109375" style="645" customWidth="1"/>
    <col min="2" max="2" width="65.7109375" style="645" customWidth="1"/>
    <col min="3" max="26" width="11.42578125" style="645" customWidth="1"/>
    <col min="27" max="27" width="9.85546875" style="645" bestFit="1" customWidth="1"/>
    <col min="28" max="256" width="11.42578125" style="645" customWidth="1"/>
    <col min="257" max="16384" width="9.140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43921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43980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7.2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43831</v>
      </c>
    </row>
    <row r="10" spans="1:27">
      <c r="A10" s="7" t="s">
        <v>2</v>
      </c>
      <c r="B10" s="661">
        <v>43921</v>
      </c>
    </row>
    <row r="11" spans="1:27">
      <c r="A11" s="7" t="s">
        <v>950</v>
      </c>
      <c r="B11" s="661">
        <v>43980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973</v>
      </c>
    </row>
    <row r="18" spans="1:2">
      <c r="A18" s="7" t="s">
        <v>893</v>
      </c>
      <c r="B18" s="538" t="s">
        <v>968</v>
      </c>
    </row>
    <row r="19" spans="1:2">
      <c r="A19" s="7" t="s">
        <v>4</v>
      </c>
      <c r="B19" s="538" t="s">
        <v>971</v>
      </c>
    </row>
    <row r="20" spans="1:2">
      <c r="A20" s="7" t="s">
        <v>5</v>
      </c>
      <c r="B20" s="538" t="s">
        <v>972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969</v>
      </c>
    </row>
    <row r="27" spans="1:2">
      <c r="A27" s="10" t="s">
        <v>944</v>
      </c>
      <c r="B27" s="539" t="s">
        <v>970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F2D4D9F9-DE61-45A3-92A2-4E78F2B34B7F}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  <customSheetView guid="{78A1B5DC-DDD3-47B7-ABD4-EC354C41CDDF}" fitToPage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topLeftCell="B1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0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2" t="s">
        <v>516</v>
      </c>
      <c r="H10" s="672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1587</v>
      </c>
      <c r="G13" s="432"/>
      <c r="H13" s="432">
        <v>301</v>
      </c>
      <c r="I13" s="433">
        <f>F13+G13-H13</f>
        <v>1286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1587</v>
      </c>
      <c r="G18" s="439">
        <f t="shared" si="1"/>
        <v>0</v>
      </c>
      <c r="H18" s="439">
        <f t="shared" si="1"/>
        <v>301</v>
      </c>
      <c r="I18" s="440">
        <f t="shared" si="0"/>
        <v>1286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43980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1"/>
      <c r="C34" s="671"/>
      <c r="D34" s="671"/>
      <c r="E34" s="671"/>
      <c r="F34" s="671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69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69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69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69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69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69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69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0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78A1B5DC-DDD3-47B7-ABD4-EC354C41CDDF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tabSelected="1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0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2" t="s">
        <v>516</v>
      </c>
      <c r="H10" s="672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2750</v>
      </c>
      <c r="G17" s="432"/>
      <c r="H17" s="432"/>
      <c r="I17" s="433">
        <f t="shared" si="0"/>
        <v>2750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2750</v>
      </c>
      <c r="G18" s="439">
        <f t="shared" si="1"/>
        <v>0</v>
      </c>
      <c r="H18" s="439">
        <f t="shared" si="1"/>
        <v>0</v>
      </c>
      <c r="I18" s="440">
        <f t="shared" si="0"/>
        <v>2750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43980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1"/>
      <c r="C34" s="671"/>
      <c r="D34" s="671"/>
      <c r="E34" s="671"/>
      <c r="F34" s="671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69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69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69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69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69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69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69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0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0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78A1B5DC-DDD3-47B7-ABD4-EC354C41CDDF}" scale="85" fitToPage="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topLeftCell="B10" zoomScale="85" zoomScaleNormal="85" zoomScaleSheetLayoutView="85" workbookViewId="0">
      <selection activeCell="L34" sqref="L34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0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2" t="s">
        <v>516</v>
      </c>
      <c r="H10" s="672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v>44</v>
      </c>
      <c r="G13" s="432"/>
      <c r="H13" s="432">
        <v>21</v>
      </c>
      <c r="I13" s="433">
        <f>F13+G13-H13</f>
        <v>23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44</v>
      </c>
      <c r="G18" s="439">
        <f t="shared" si="1"/>
        <v>0</v>
      </c>
      <c r="H18" s="439">
        <f t="shared" si="1"/>
        <v>21</v>
      </c>
      <c r="I18" s="440">
        <f t="shared" si="0"/>
        <v>23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43980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1"/>
      <c r="C34" s="671"/>
      <c r="D34" s="671"/>
      <c r="E34" s="671"/>
      <c r="F34" s="671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69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69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69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69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69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69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69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0">
      <selection activeCell="H14" sqref="H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0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78A1B5DC-DDD3-47B7-ABD4-EC354C41CDDF}" scale="85" fitToPage="1" topLeftCell="B10">
      <selection activeCell="L34" sqref="L3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75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75">
      <c r="A3" s="622" t="str">
        <f>CONCATENATE("за периода от ",TEXT(startDate,"dd.mm.yyyy г.")," до ",TEXT(endDate,"dd.mm.yyyy г."))</f>
        <v>за периода от 01.01.2020 г. до 31.03.2020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1214275</v>
      </c>
      <c r="D6" s="634">
        <f t="shared" ref="D6:D15" si="0">C6-E6</f>
        <v>0</v>
      </c>
      <c r="E6" s="633">
        <f>'1-Баланс'!G95</f>
        <v>1214275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566014</v>
      </c>
      <c r="D7" s="634">
        <f t="shared" si="0"/>
        <v>465358</v>
      </c>
      <c r="E7" s="633">
        <f>'1-Баланс'!G18</f>
        <v>100656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10797</v>
      </c>
      <c r="D8" s="634">
        <f t="shared" si="0"/>
        <v>0</v>
      </c>
      <c r="E8" s="633">
        <f>ABS('2-Отчет за доходите'!C44)-ABS('2-Отчет за доходите'!G44)</f>
        <v>10797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27513</v>
      </c>
      <c r="D9" s="634">
        <f t="shared" si="0"/>
        <v>151</v>
      </c>
      <c r="E9" s="633">
        <f>'3-Отчет за паричния поток'!C45</f>
        <v>27362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26624</v>
      </c>
      <c r="D10" s="634">
        <f t="shared" si="0"/>
        <v>153</v>
      </c>
      <c r="E10" s="633">
        <f>'3-Отчет за паричния поток'!C46</f>
        <v>26471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566014</v>
      </c>
      <c r="D11" s="634">
        <f t="shared" si="0"/>
        <v>0</v>
      </c>
      <c r="E11" s="633">
        <f>'4-Отчет за собствения капитал'!L34</f>
        <v>566014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0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63532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12978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78A1B5DC-DDD3-47B7-ABD4-EC354C41CDD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1.5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2.9328595992274657E-2</v>
      </c>
      <c r="E3" s="605"/>
    </row>
    <row r="4" spans="1:5" ht="31.5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1.9075499899295776E-2</v>
      </c>
    </row>
    <row r="5" spans="1:5" ht="31.5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1.716419571348177E-2</v>
      </c>
    </row>
    <row r="6" spans="1:5" ht="31.5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8.8917255152251348E-3</v>
      </c>
    </row>
    <row r="7" spans="1:5" ht="24" customHeight="1">
      <c r="A7" s="604" t="s">
        <v>866</v>
      </c>
      <c r="B7" s="602"/>
      <c r="C7" s="602"/>
      <c r="D7" s="603"/>
    </row>
    <row r="8" spans="1:5" ht="31.5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1.030386301499667</v>
      </c>
    </row>
    <row r="9" spans="1:5" ht="24" customHeight="1">
      <c r="A9" s="604" t="s">
        <v>869</v>
      </c>
      <c r="B9" s="602"/>
      <c r="C9" s="602"/>
      <c r="D9" s="603"/>
    </row>
    <row r="10" spans="1:5" ht="31.5">
      <c r="A10" s="552">
        <v>6</v>
      </c>
      <c r="B10" s="550" t="s">
        <v>870</v>
      </c>
      <c r="C10" s="551" t="s">
        <v>871</v>
      </c>
      <c r="D10" s="600">
        <f>'1-Баланс'!C94/'1-Баланс'!G79</f>
        <v>1.1424295743772908</v>
      </c>
    </row>
    <row r="11" spans="1:5" ht="63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0.68805984399874509</v>
      </c>
    </row>
    <row r="12" spans="1:5" ht="47.25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5.1878308888720012E-2</v>
      </c>
    </row>
    <row r="13" spans="1:5" ht="31.5">
      <c r="A13" s="552">
        <v>9</v>
      </c>
      <c r="B13" s="550" t="s">
        <v>874</v>
      </c>
      <c r="C13" s="551" t="s">
        <v>875</v>
      </c>
      <c r="D13" s="600">
        <f>'1-Баланс'!C92/'1-Баланс'!G79</f>
        <v>5.1878308888720012E-2</v>
      </c>
    </row>
    <row r="14" spans="1:5" ht="24" customHeight="1">
      <c r="A14" s="604" t="s">
        <v>876</v>
      </c>
      <c r="B14" s="602"/>
      <c r="C14" s="602"/>
      <c r="D14" s="603"/>
    </row>
    <row r="15" spans="1:5" ht="31.5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0.55679341537893789</v>
      </c>
    </row>
    <row r="16" spans="1:5" ht="31.5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0.30317596919972822</v>
      </c>
    </row>
    <row r="17" spans="1:5" ht="24" customHeight="1">
      <c r="A17" s="604" t="s">
        <v>879</v>
      </c>
      <c r="B17" s="602"/>
      <c r="C17" s="602"/>
      <c r="D17" s="603"/>
    </row>
    <row r="18" spans="1:5" ht="31.5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0.16989095922153538</v>
      </c>
    </row>
    <row r="19" spans="1:5" ht="31.5">
      <c r="A19" s="552">
        <v>13</v>
      </c>
      <c r="B19" s="550" t="s">
        <v>907</v>
      </c>
      <c r="C19" s="551" t="s">
        <v>880</v>
      </c>
      <c r="D19" s="600">
        <f>D4/D5</f>
        <v>1.1113541361167745</v>
      </c>
    </row>
    <row r="20" spans="1:5" ht="31.5">
      <c r="A20" s="552">
        <v>14</v>
      </c>
      <c r="B20" s="550" t="s">
        <v>881</v>
      </c>
      <c r="C20" s="551" t="s">
        <v>882</v>
      </c>
      <c r="D20" s="600">
        <f>D6/D5</f>
        <v>0.51803915916905152</v>
      </c>
    </row>
    <row r="21" spans="1:5" ht="31.5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13684</v>
      </c>
      <c r="E21" s="655"/>
    </row>
    <row r="22" spans="1:5" ht="63">
      <c r="A22" s="552">
        <v>16</v>
      </c>
      <c r="B22" s="550" t="s">
        <v>887</v>
      </c>
      <c r="C22" s="551" t="s">
        <v>888</v>
      </c>
      <c r="D22" s="606">
        <f>D21/'1-Баланс'!G37</f>
        <v>2.4176080450306881E-2</v>
      </c>
    </row>
    <row r="23" spans="1:5" ht="31.5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6.6223804217291113E-2</v>
      </c>
    </row>
    <row r="24" spans="1:5" ht="31.5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25.691962097696454</v>
      </c>
    </row>
  </sheetData>
  <sheetProtection password="D554" sheet="1" objects="1" scenarios="1" insertRows="0"/>
  <customSheetViews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78A1B5DC-DDD3-47B7-ABD4-EC354C41CDD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43921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60636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43921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153583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43921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99077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43921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14059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43921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11025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43921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8018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43921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30095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43921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344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43921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376837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43921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11277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43921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347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43921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26088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43921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10254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43921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43921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5126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43921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41468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43921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15681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43921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43921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15681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43921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76510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43921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43921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43921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63532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43921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12978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43921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43921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43921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43921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43921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43921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43921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76510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43921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92686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43921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6919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43921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43921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4305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43921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103910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43921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43921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1949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43921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627979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43921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37583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43921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34431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43921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152669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43921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6565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43921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43921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43921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231248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43921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7859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43921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268151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43921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16711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43921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5907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43921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2101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43921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13880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43921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43921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11880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43921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326489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43921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43921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43921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43921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43921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43921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43921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43921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1476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43921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24995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43921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153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43921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43921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26624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43921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1935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43921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586296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43921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1214275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43921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43921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43921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43921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-34142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43921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43921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43921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100656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43921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43921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34422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43921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59297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43921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59297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43921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43921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43921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93719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43921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360842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43921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360842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43921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43921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43921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10797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43921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43921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371639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43921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566014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43921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19219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43921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2504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43921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59339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43921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43921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43921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43921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29100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43921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90943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43921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6396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43921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43921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8093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43921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10409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43921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115841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43921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281198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43921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17832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43921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180163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43921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8822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43921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43921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143415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43921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1116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43921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13205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43921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2912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43921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10693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43921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34008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43921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43921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513201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43921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43921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43921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43921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513201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43921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1214275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43921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22790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43921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19648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43921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10800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43921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27749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43921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5022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43921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264335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43921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-985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43921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1644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43921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-148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43921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43921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351003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43921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2781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43921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43921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5389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43921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187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43921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8357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43921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359360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43921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10356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43921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547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43921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43921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358813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43921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10903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43921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2485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43921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2485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43921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43921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43921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8418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43921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0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43921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10797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43921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369716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43921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71204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43921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294841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43921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1588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43921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506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43921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368139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43921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239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43921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43921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1166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43921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43921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92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43921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80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43921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43921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1338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43921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369716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43921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43921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43921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43921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369716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43921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43921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43921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2379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43921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43921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369716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43921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322205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43921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-310947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43921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43921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-31132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43921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-13902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43921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-679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43921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43921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-2038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43921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-1830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43921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-6261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43921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-44584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43921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-9914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43921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154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43921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-1690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43921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454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43921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88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43921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-4367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43921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27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43921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43921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43921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43921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-15248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43921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43921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43921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22468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43921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-7648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43921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-3675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43921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-304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43921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-512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43921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48612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43921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58941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43921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-891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43921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27362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43921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26471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43921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26471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43921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153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43921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100656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43921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43921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43921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43921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100656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43921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43921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43921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43921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43921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43921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43921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43921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43921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43921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43921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43921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43921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0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43921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100656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43921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43921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43921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100656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43921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43921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43921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43921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43921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43921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43921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43921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43921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43921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43921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43921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43921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43921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43921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43921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43921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43921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43921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43921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43921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43921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43921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35822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43921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43921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43921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43921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35822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43921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43921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43921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43921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43921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43921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43921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43921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43921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-681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43921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43921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681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43921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43921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-719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43921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34422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43921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43921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43921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34422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43921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59297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43921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43921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43921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43921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59297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43921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43921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43921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43921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43921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43921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43921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43921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43921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43921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43921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43921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43921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43921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59297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43921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43921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43921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59297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43921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43921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43921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43921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43921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43921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43921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43921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43921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43921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43921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43921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43921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43921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43921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43921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43921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43921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43921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43921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43921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43921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43921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43921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43921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43921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43921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43921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43921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43921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43921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43921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43921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43921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43921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43921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43921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43921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43921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43921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43921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43921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43921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43921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43921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360656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43921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43921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43921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43921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360656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43921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10797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43921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43921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43921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43921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43921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43921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43921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43921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43921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43921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43921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43921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186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43921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371639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43921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43921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43921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371639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43921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43921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43921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43921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43921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43921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43921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43921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43921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43921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43921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43921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43921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43921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43921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43921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43921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43921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43921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43921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43921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43921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43921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43921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43921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43921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43921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43921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43921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43921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43921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43921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43921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43921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43921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43921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43921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43921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43921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43921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43921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43921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43921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43921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43921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556431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43921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43921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43921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43921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556431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43921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10797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43921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43921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43921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43921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43921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43921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43921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43921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-681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43921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43921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681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43921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43921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-533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43921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566014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43921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43921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43921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566014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43921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19341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43921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43921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43921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43921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19341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43921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-2379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43921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-42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43921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-42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43921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43921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43921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43921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43921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43921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43921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43921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43921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43921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2299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43921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19219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43921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43921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43921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19219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43921</v>
      </c>
      <c r="D461" s="99" t="s">
        <v>523</v>
      </c>
      <c r="E461" s="474">
        <v>1</v>
      </c>
      <c r="F461" s="99" t="s">
        <v>522</v>
      </c>
      <c r="H461" s="99">
        <f>'Справка 6'!D11</f>
        <v>60640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43921</v>
      </c>
      <c r="D462" s="99" t="s">
        <v>526</v>
      </c>
      <c r="E462" s="474">
        <v>1</v>
      </c>
      <c r="F462" s="99" t="s">
        <v>525</v>
      </c>
      <c r="H462" s="99">
        <f>'Справка 6'!D12</f>
        <v>223768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43921</v>
      </c>
      <c r="D463" s="99" t="s">
        <v>529</v>
      </c>
      <c r="E463" s="474">
        <v>1</v>
      </c>
      <c r="F463" s="99" t="s">
        <v>528</v>
      </c>
      <c r="H463" s="99">
        <f>'Справка 6'!D13</f>
        <v>230570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43921</v>
      </c>
      <c r="D464" s="99" t="s">
        <v>532</v>
      </c>
      <c r="E464" s="474">
        <v>1</v>
      </c>
      <c r="F464" s="99" t="s">
        <v>531</v>
      </c>
      <c r="H464" s="99">
        <f>'Справка 6'!D14</f>
        <v>21424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43921</v>
      </c>
      <c r="D465" s="99" t="s">
        <v>535</v>
      </c>
      <c r="E465" s="474">
        <v>1</v>
      </c>
      <c r="F465" s="99" t="s">
        <v>534</v>
      </c>
      <c r="H465" s="99">
        <f>'Справка 6'!D15</f>
        <v>26024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43921</v>
      </c>
      <c r="D466" s="99" t="s">
        <v>537</v>
      </c>
      <c r="E466" s="474">
        <v>1</v>
      </c>
      <c r="F466" s="99" t="s">
        <v>536</v>
      </c>
      <c r="H466" s="99">
        <f>'Справка 6'!D16</f>
        <v>24604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43921</v>
      </c>
      <c r="D467" s="99" t="s">
        <v>540</v>
      </c>
      <c r="E467" s="474">
        <v>1</v>
      </c>
      <c r="F467" s="99" t="s">
        <v>539</v>
      </c>
      <c r="H467" s="99">
        <f>'Справка 6'!D17</f>
        <v>29807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43921</v>
      </c>
      <c r="D468" s="99" t="s">
        <v>543</v>
      </c>
      <c r="E468" s="474">
        <v>1</v>
      </c>
      <c r="F468" s="99" t="s">
        <v>542</v>
      </c>
      <c r="H468" s="99">
        <f>'Справка 6'!D18</f>
        <v>485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43921</v>
      </c>
      <c r="D469" s="99" t="s">
        <v>545</v>
      </c>
      <c r="E469" s="474">
        <v>1</v>
      </c>
      <c r="F469" s="99" t="s">
        <v>804</v>
      </c>
      <c r="H469" s="99">
        <f>'Справка 6'!D19</f>
        <v>617322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43921</v>
      </c>
      <c r="D470" s="99" t="s">
        <v>547</v>
      </c>
      <c r="E470" s="474">
        <v>1</v>
      </c>
      <c r="F470" s="99" t="s">
        <v>546</v>
      </c>
      <c r="H470" s="99">
        <f>'Справка 6'!D20</f>
        <v>10856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43921</v>
      </c>
      <c r="D471" s="99" t="s">
        <v>549</v>
      </c>
      <c r="E471" s="474">
        <v>1</v>
      </c>
      <c r="F471" s="99" t="s">
        <v>548</v>
      </c>
      <c r="H471" s="99">
        <f>'Справка 6'!D21</f>
        <v>355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43921</v>
      </c>
      <c r="D472" s="99" t="s">
        <v>553</v>
      </c>
      <c r="E472" s="474">
        <v>1</v>
      </c>
      <c r="F472" s="99" t="s">
        <v>552</v>
      </c>
      <c r="H472" s="99">
        <f>'Справка 6'!D23</f>
        <v>65759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43921</v>
      </c>
      <c r="D473" s="99" t="s">
        <v>555</v>
      </c>
      <c r="E473" s="474">
        <v>1</v>
      </c>
      <c r="F473" s="99" t="s">
        <v>554</v>
      </c>
      <c r="H473" s="99">
        <f>'Справка 6'!D24</f>
        <v>21868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43921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43921</v>
      </c>
      <c r="D475" s="99" t="s">
        <v>558</v>
      </c>
      <c r="E475" s="474">
        <v>1</v>
      </c>
      <c r="F475" s="99" t="s">
        <v>542</v>
      </c>
      <c r="H475" s="99">
        <f>'Справка 6'!D26</f>
        <v>7378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43921</v>
      </c>
      <c r="D476" s="99" t="s">
        <v>560</v>
      </c>
      <c r="E476" s="474">
        <v>1</v>
      </c>
      <c r="F476" s="99" t="s">
        <v>838</v>
      </c>
      <c r="H476" s="99">
        <f>'Справка 6'!D27</f>
        <v>95005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43921</v>
      </c>
      <c r="D477" s="99" t="s">
        <v>562</v>
      </c>
      <c r="E477" s="474">
        <v>1</v>
      </c>
      <c r="F477" s="99" t="s">
        <v>561</v>
      </c>
      <c r="H477" s="99">
        <f>'Справка 6'!D29</f>
        <v>73064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43921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43921</v>
      </c>
      <c r="D479" s="99" t="s">
        <v>564</v>
      </c>
      <c r="E479" s="474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43921</v>
      </c>
      <c r="D480" s="99" t="s">
        <v>565</v>
      </c>
      <c r="E480" s="474">
        <v>1</v>
      </c>
      <c r="F480" s="99" t="s">
        <v>113</v>
      </c>
      <c r="H480" s="99">
        <f>'Справка 6'!D32</f>
        <v>62985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43921</v>
      </c>
      <c r="D481" s="99" t="s">
        <v>566</v>
      </c>
      <c r="E481" s="474">
        <v>1</v>
      </c>
      <c r="F481" s="99" t="s">
        <v>115</v>
      </c>
      <c r="H481" s="99">
        <f>'Справка 6'!D33</f>
        <v>10079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43921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43921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43921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43921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43921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43921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43921</v>
      </c>
      <c r="D488" s="99" t="s">
        <v>578</v>
      </c>
      <c r="E488" s="474">
        <v>1</v>
      </c>
      <c r="F488" s="99" t="s">
        <v>803</v>
      </c>
      <c r="H488" s="99">
        <f>'Справка 6'!D40</f>
        <v>73064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43921</v>
      </c>
      <c r="D489" s="99" t="s">
        <v>581</v>
      </c>
      <c r="E489" s="474">
        <v>1</v>
      </c>
      <c r="F489" s="99" t="s">
        <v>580</v>
      </c>
      <c r="H489" s="99">
        <f>'Справка 6'!D41</f>
        <v>30302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43921</v>
      </c>
      <c r="D490" s="99" t="s">
        <v>583</v>
      </c>
      <c r="E490" s="474">
        <v>1</v>
      </c>
      <c r="F490" s="99" t="s">
        <v>582</v>
      </c>
      <c r="H490" s="99">
        <f>'Справка 6'!D42</f>
        <v>826904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43921</v>
      </c>
      <c r="D491" s="99" t="s">
        <v>523</v>
      </c>
      <c r="E491" s="474">
        <v>2</v>
      </c>
      <c r="F491" s="99" t="s">
        <v>522</v>
      </c>
      <c r="H491" s="99">
        <f>'Справка 6'!E11</f>
        <v>49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43921</v>
      </c>
      <c r="D492" s="99" t="s">
        <v>526</v>
      </c>
      <c r="E492" s="474">
        <v>2</v>
      </c>
      <c r="F492" s="99" t="s">
        <v>525</v>
      </c>
      <c r="H492" s="99">
        <f>'Справка 6'!E12</f>
        <v>2519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43921</v>
      </c>
      <c r="D493" s="99" t="s">
        <v>529</v>
      </c>
      <c r="E493" s="474">
        <v>2</v>
      </c>
      <c r="F493" s="99" t="s">
        <v>528</v>
      </c>
      <c r="H493" s="99">
        <f>'Справка 6'!E13</f>
        <v>6086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43921</v>
      </c>
      <c r="D494" s="99" t="s">
        <v>532</v>
      </c>
      <c r="E494" s="474">
        <v>2</v>
      </c>
      <c r="F494" s="99" t="s">
        <v>531</v>
      </c>
      <c r="H494" s="99">
        <f>'Справка 6'!E14</f>
        <v>562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43921</v>
      </c>
      <c r="D495" s="99" t="s">
        <v>535</v>
      </c>
      <c r="E495" s="474">
        <v>2</v>
      </c>
      <c r="F495" s="99" t="s">
        <v>534</v>
      </c>
      <c r="H495" s="99">
        <f>'Справка 6'!E15</f>
        <v>1474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43921</v>
      </c>
      <c r="D496" s="99" t="s">
        <v>537</v>
      </c>
      <c r="E496" s="474">
        <v>2</v>
      </c>
      <c r="F496" s="99" t="s">
        <v>536</v>
      </c>
      <c r="H496" s="99">
        <f>'Справка 6'!E16</f>
        <v>397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43921</v>
      </c>
      <c r="D497" s="99" t="s">
        <v>540</v>
      </c>
      <c r="E497" s="474">
        <v>2</v>
      </c>
      <c r="F497" s="99" t="s">
        <v>539</v>
      </c>
      <c r="H497" s="99">
        <f>'Справка 6'!E17</f>
        <v>6968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43921</v>
      </c>
      <c r="D498" s="99" t="s">
        <v>543</v>
      </c>
      <c r="E498" s="474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43921</v>
      </c>
      <c r="D499" s="99" t="s">
        <v>545</v>
      </c>
      <c r="E499" s="474">
        <v>2</v>
      </c>
      <c r="F499" s="99" t="s">
        <v>804</v>
      </c>
      <c r="H499" s="99">
        <f>'Справка 6'!E19</f>
        <v>18055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43921</v>
      </c>
      <c r="D500" s="99" t="s">
        <v>547</v>
      </c>
      <c r="E500" s="474">
        <v>2</v>
      </c>
      <c r="F500" s="99" t="s">
        <v>546</v>
      </c>
      <c r="H500" s="99">
        <f>'Справка 6'!E20</f>
        <v>421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43921</v>
      </c>
      <c r="D501" s="99" t="s">
        <v>549</v>
      </c>
      <c r="E501" s="474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43921</v>
      </c>
      <c r="D502" s="99" t="s">
        <v>553</v>
      </c>
      <c r="E502" s="474">
        <v>2</v>
      </c>
      <c r="F502" s="99" t="s">
        <v>552</v>
      </c>
      <c r="H502" s="99">
        <f>'Справка 6'!E23</f>
        <v>13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43921</v>
      </c>
      <c r="D503" s="99" t="s">
        <v>555</v>
      </c>
      <c r="E503" s="474">
        <v>2</v>
      </c>
      <c r="F503" s="99" t="s">
        <v>554</v>
      </c>
      <c r="H503" s="99">
        <f>'Справка 6'!E24</f>
        <v>254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43921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43921</v>
      </c>
      <c r="D505" s="99" t="s">
        <v>558</v>
      </c>
      <c r="E505" s="474">
        <v>2</v>
      </c>
      <c r="F505" s="99" t="s">
        <v>542</v>
      </c>
      <c r="H505" s="99">
        <f>'Справка 6'!E26</f>
        <v>329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43921</v>
      </c>
      <c r="D506" s="99" t="s">
        <v>560</v>
      </c>
      <c r="E506" s="474">
        <v>2</v>
      </c>
      <c r="F506" s="99" t="s">
        <v>838</v>
      </c>
      <c r="H506" s="99">
        <f>'Справка 6'!E27</f>
        <v>596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43921</v>
      </c>
      <c r="D507" s="99" t="s">
        <v>562</v>
      </c>
      <c r="E507" s="474">
        <v>2</v>
      </c>
      <c r="F507" s="99" t="s">
        <v>561</v>
      </c>
      <c r="H507" s="99">
        <f>'Справка 6'!E29</f>
        <v>4349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43921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43921</v>
      </c>
      <c r="D509" s="99" t="s">
        <v>564</v>
      </c>
      <c r="E509" s="474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43921</v>
      </c>
      <c r="D510" s="99" t="s">
        <v>565</v>
      </c>
      <c r="E510" s="474">
        <v>2</v>
      </c>
      <c r="F510" s="99" t="s">
        <v>113</v>
      </c>
      <c r="H510" s="99">
        <f>'Справка 6'!E32</f>
        <v>547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43921</v>
      </c>
      <c r="D511" s="99" t="s">
        <v>566</v>
      </c>
      <c r="E511" s="474">
        <v>2</v>
      </c>
      <c r="F511" s="99" t="s">
        <v>115</v>
      </c>
      <c r="H511" s="99">
        <f>'Справка 6'!E33</f>
        <v>3802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43921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43921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43921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43921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43921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43921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43921</v>
      </c>
      <c r="D518" s="99" t="s">
        <v>578</v>
      </c>
      <c r="E518" s="474">
        <v>2</v>
      </c>
      <c r="F518" s="99" t="s">
        <v>803</v>
      </c>
      <c r="H518" s="99">
        <f>'Справка 6'!E40</f>
        <v>4349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43921</v>
      </c>
      <c r="D519" s="99" t="s">
        <v>581</v>
      </c>
      <c r="E519" s="474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43921</v>
      </c>
      <c r="D520" s="99" t="s">
        <v>583</v>
      </c>
      <c r="E520" s="474">
        <v>2</v>
      </c>
      <c r="F520" s="99" t="s">
        <v>582</v>
      </c>
      <c r="H520" s="99">
        <f>'Справка 6'!E42</f>
        <v>23421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43921</v>
      </c>
      <c r="D521" s="99" t="s">
        <v>523</v>
      </c>
      <c r="E521" s="474">
        <v>3</v>
      </c>
      <c r="F521" s="99" t="s">
        <v>522</v>
      </c>
      <c r="H521" s="99">
        <f>'Справка 6'!F11</f>
        <v>50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43921</v>
      </c>
      <c r="D522" s="99" t="s">
        <v>526</v>
      </c>
      <c r="E522" s="474">
        <v>3</v>
      </c>
      <c r="F522" s="99" t="s">
        <v>525</v>
      </c>
      <c r="H522" s="99">
        <f>'Справка 6'!F12</f>
        <v>2033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43921</v>
      </c>
      <c r="D523" s="99" t="s">
        <v>529</v>
      </c>
      <c r="E523" s="474">
        <v>3</v>
      </c>
      <c r="F523" s="99" t="s">
        <v>528</v>
      </c>
      <c r="H523" s="99">
        <f>'Справка 6'!F13</f>
        <v>479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43921</v>
      </c>
      <c r="D524" s="99" t="s">
        <v>532</v>
      </c>
      <c r="E524" s="474">
        <v>3</v>
      </c>
      <c r="F524" s="99" t="s">
        <v>531</v>
      </c>
      <c r="H524" s="99">
        <f>'Справка 6'!F14</f>
        <v>1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43921</v>
      </c>
      <c r="D525" s="99" t="s">
        <v>535</v>
      </c>
      <c r="E525" s="474">
        <v>3</v>
      </c>
      <c r="F525" s="99" t="s">
        <v>534</v>
      </c>
      <c r="H525" s="99">
        <f>'Справка 6'!F15</f>
        <v>988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43921</v>
      </c>
      <c r="D526" s="99" t="s">
        <v>537</v>
      </c>
      <c r="E526" s="474">
        <v>3</v>
      </c>
      <c r="F526" s="99" t="s">
        <v>536</v>
      </c>
      <c r="H526" s="99">
        <f>'Справка 6'!F16</f>
        <v>563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43921</v>
      </c>
      <c r="D527" s="99" t="s">
        <v>540</v>
      </c>
      <c r="E527" s="474">
        <v>3</v>
      </c>
      <c r="F527" s="99" t="s">
        <v>539</v>
      </c>
      <c r="H527" s="99">
        <f>'Справка 6'!F17</f>
        <v>6680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43921</v>
      </c>
      <c r="D528" s="99" t="s">
        <v>543</v>
      </c>
      <c r="E528" s="474">
        <v>3</v>
      </c>
      <c r="F528" s="99" t="s">
        <v>542</v>
      </c>
      <c r="H528" s="99">
        <f>'Справка 6'!F18</f>
        <v>40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43921</v>
      </c>
      <c r="D529" s="99" t="s">
        <v>545</v>
      </c>
      <c r="E529" s="474">
        <v>3</v>
      </c>
      <c r="F529" s="99" t="s">
        <v>804</v>
      </c>
      <c r="H529" s="99">
        <f>'Справка 6'!F19</f>
        <v>10834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43921</v>
      </c>
      <c r="D530" s="99" t="s">
        <v>547</v>
      </c>
      <c r="E530" s="474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43921</v>
      </c>
      <c r="D531" s="99" t="s">
        <v>549</v>
      </c>
      <c r="E531" s="474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43921</v>
      </c>
      <c r="D532" s="99" t="s">
        <v>553</v>
      </c>
      <c r="E532" s="474">
        <v>3</v>
      </c>
      <c r="F532" s="99" t="s">
        <v>552</v>
      </c>
      <c r="H532" s="99">
        <f>'Справка 6'!F23</f>
        <v>13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43921</v>
      </c>
      <c r="D533" s="99" t="s">
        <v>555</v>
      </c>
      <c r="E533" s="474">
        <v>3</v>
      </c>
      <c r="F533" s="99" t="s">
        <v>554</v>
      </c>
      <c r="H533" s="99">
        <f>'Справка 6'!F24</f>
        <v>17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43921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43921</v>
      </c>
      <c r="D535" s="99" t="s">
        <v>558</v>
      </c>
      <c r="E535" s="474">
        <v>3</v>
      </c>
      <c r="F535" s="99" t="s">
        <v>542</v>
      </c>
      <c r="H535" s="99">
        <f>'Справка 6'!F26</f>
        <v>219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43921</v>
      </c>
      <c r="D536" s="99" t="s">
        <v>560</v>
      </c>
      <c r="E536" s="474">
        <v>3</v>
      </c>
      <c r="F536" s="99" t="s">
        <v>838</v>
      </c>
      <c r="H536" s="99">
        <f>'Справка 6'!F27</f>
        <v>249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43921</v>
      </c>
      <c r="D537" s="99" t="s">
        <v>562</v>
      </c>
      <c r="E537" s="474">
        <v>3</v>
      </c>
      <c r="F537" s="99" t="s">
        <v>561</v>
      </c>
      <c r="H537" s="99">
        <f>'Справка 6'!F29</f>
        <v>222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43921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43921</v>
      </c>
      <c r="D539" s="99" t="s">
        <v>564</v>
      </c>
      <c r="E539" s="474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43921</v>
      </c>
      <c r="D540" s="99" t="s">
        <v>565</v>
      </c>
      <c r="E540" s="474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43921</v>
      </c>
      <c r="D541" s="99" t="s">
        <v>566</v>
      </c>
      <c r="E541" s="474">
        <v>3</v>
      </c>
      <c r="F541" s="99" t="s">
        <v>115</v>
      </c>
      <c r="H541" s="99">
        <f>'Справка 6'!F33</f>
        <v>222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43921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43921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43921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43921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43921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43921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43921</v>
      </c>
      <c r="D548" s="99" t="s">
        <v>578</v>
      </c>
      <c r="E548" s="474">
        <v>3</v>
      </c>
      <c r="F548" s="99" t="s">
        <v>803</v>
      </c>
      <c r="H548" s="99">
        <f>'Справка 6'!F40</f>
        <v>222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43921</v>
      </c>
      <c r="D549" s="99" t="s">
        <v>581</v>
      </c>
      <c r="E549" s="474">
        <v>3</v>
      </c>
      <c r="F549" s="99" t="s">
        <v>580</v>
      </c>
      <c r="H549" s="99">
        <f>'Справка 6'!F41</f>
        <v>228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43921</v>
      </c>
      <c r="D550" s="99" t="s">
        <v>583</v>
      </c>
      <c r="E550" s="474">
        <v>3</v>
      </c>
      <c r="F550" s="99" t="s">
        <v>582</v>
      </c>
      <c r="H550" s="99">
        <f>'Справка 6'!F42</f>
        <v>11533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43921</v>
      </c>
      <c r="D551" s="99" t="s">
        <v>523</v>
      </c>
      <c r="E551" s="474">
        <v>4</v>
      </c>
      <c r="F551" s="99" t="s">
        <v>522</v>
      </c>
      <c r="H551" s="99">
        <f>'Справка 6'!G11</f>
        <v>60639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43921</v>
      </c>
      <c r="D552" s="99" t="s">
        <v>526</v>
      </c>
      <c r="E552" s="474">
        <v>4</v>
      </c>
      <c r="F552" s="99" t="s">
        <v>525</v>
      </c>
      <c r="H552" s="99">
        <f>'Справка 6'!G12</f>
        <v>224254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43921</v>
      </c>
      <c r="D553" s="99" t="s">
        <v>529</v>
      </c>
      <c r="E553" s="474">
        <v>4</v>
      </c>
      <c r="F553" s="99" t="s">
        <v>528</v>
      </c>
      <c r="H553" s="99">
        <f>'Справка 6'!G13</f>
        <v>236177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43921</v>
      </c>
      <c r="D554" s="99" t="s">
        <v>532</v>
      </c>
      <c r="E554" s="474">
        <v>4</v>
      </c>
      <c r="F554" s="99" t="s">
        <v>531</v>
      </c>
      <c r="H554" s="99">
        <f>'Справка 6'!G14</f>
        <v>21985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43921</v>
      </c>
      <c r="D555" s="99" t="s">
        <v>535</v>
      </c>
      <c r="E555" s="474">
        <v>4</v>
      </c>
      <c r="F555" s="99" t="s">
        <v>534</v>
      </c>
      <c r="H555" s="99">
        <f>'Справка 6'!G15</f>
        <v>26510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43921</v>
      </c>
      <c r="D556" s="99" t="s">
        <v>537</v>
      </c>
      <c r="E556" s="474">
        <v>4</v>
      </c>
      <c r="F556" s="99" t="s">
        <v>536</v>
      </c>
      <c r="H556" s="99">
        <f>'Справка 6'!G16</f>
        <v>24438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43921</v>
      </c>
      <c r="D557" s="99" t="s">
        <v>540</v>
      </c>
      <c r="E557" s="474">
        <v>4</v>
      </c>
      <c r="F557" s="99" t="s">
        <v>539</v>
      </c>
      <c r="H557" s="99">
        <f>'Справка 6'!G17</f>
        <v>30095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43921</v>
      </c>
      <c r="D558" s="99" t="s">
        <v>543</v>
      </c>
      <c r="E558" s="474">
        <v>4</v>
      </c>
      <c r="F558" s="99" t="s">
        <v>542</v>
      </c>
      <c r="H558" s="99">
        <f>'Справка 6'!G18</f>
        <v>445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43921</v>
      </c>
      <c r="D559" s="99" t="s">
        <v>545</v>
      </c>
      <c r="E559" s="474">
        <v>4</v>
      </c>
      <c r="F559" s="99" t="s">
        <v>804</v>
      </c>
      <c r="H559" s="99">
        <f>'Справка 6'!G19</f>
        <v>624543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43921</v>
      </c>
      <c r="D560" s="99" t="s">
        <v>547</v>
      </c>
      <c r="E560" s="474">
        <v>4</v>
      </c>
      <c r="F560" s="99" t="s">
        <v>546</v>
      </c>
      <c r="H560" s="99">
        <f>'Справка 6'!G20</f>
        <v>11277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43921</v>
      </c>
      <c r="D561" s="99" t="s">
        <v>549</v>
      </c>
      <c r="E561" s="474">
        <v>4</v>
      </c>
      <c r="F561" s="99" t="s">
        <v>548</v>
      </c>
      <c r="H561" s="99">
        <f>'Справка 6'!G21</f>
        <v>355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43921</v>
      </c>
      <c r="D562" s="99" t="s">
        <v>553</v>
      </c>
      <c r="E562" s="474">
        <v>4</v>
      </c>
      <c r="F562" s="99" t="s">
        <v>552</v>
      </c>
      <c r="H562" s="99">
        <f>'Справка 6'!G23</f>
        <v>65759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43921</v>
      </c>
      <c r="D563" s="99" t="s">
        <v>555</v>
      </c>
      <c r="E563" s="474">
        <v>4</v>
      </c>
      <c r="F563" s="99" t="s">
        <v>554</v>
      </c>
      <c r="H563" s="99">
        <f>'Справка 6'!G24</f>
        <v>22105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43921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43921</v>
      </c>
      <c r="D565" s="99" t="s">
        <v>558</v>
      </c>
      <c r="E565" s="474">
        <v>4</v>
      </c>
      <c r="F565" s="99" t="s">
        <v>542</v>
      </c>
      <c r="H565" s="99">
        <f>'Справка 6'!G26</f>
        <v>7488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43921</v>
      </c>
      <c r="D566" s="99" t="s">
        <v>560</v>
      </c>
      <c r="E566" s="474">
        <v>4</v>
      </c>
      <c r="F566" s="99" t="s">
        <v>838</v>
      </c>
      <c r="H566" s="99">
        <f>'Справка 6'!G27</f>
        <v>95352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43921</v>
      </c>
      <c r="D567" s="99" t="s">
        <v>562</v>
      </c>
      <c r="E567" s="474">
        <v>4</v>
      </c>
      <c r="F567" s="99" t="s">
        <v>561</v>
      </c>
      <c r="H567" s="99">
        <f>'Справка 6'!G29</f>
        <v>77191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43921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43921</v>
      </c>
      <c r="D569" s="99" t="s">
        <v>564</v>
      </c>
      <c r="E569" s="474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43921</v>
      </c>
      <c r="D570" s="99" t="s">
        <v>565</v>
      </c>
      <c r="E570" s="474">
        <v>4</v>
      </c>
      <c r="F570" s="99" t="s">
        <v>113</v>
      </c>
      <c r="H570" s="99">
        <f>'Справка 6'!G32</f>
        <v>63532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43921</v>
      </c>
      <c r="D571" s="99" t="s">
        <v>566</v>
      </c>
      <c r="E571" s="474">
        <v>4</v>
      </c>
      <c r="F571" s="99" t="s">
        <v>115</v>
      </c>
      <c r="H571" s="99">
        <f>'Справка 6'!G33</f>
        <v>13659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43921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43921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43921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43921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43921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43921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43921</v>
      </c>
      <c r="D578" s="99" t="s">
        <v>578</v>
      </c>
      <c r="E578" s="474">
        <v>4</v>
      </c>
      <c r="F578" s="99" t="s">
        <v>803</v>
      </c>
      <c r="H578" s="99">
        <f>'Справка 6'!G40</f>
        <v>77191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43921</v>
      </c>
      <c r="D579" s="99" t="s">
        <v>581</v>
      </c>
      <c r="E579" s="474">
        <v>4</v>
      </c>
      <c r="F579" s="99" t="s">
        <v>580</v>
      </c>
      <c r="H579" s="99">
        <f>'Справка 6'!G41</f>
        <v>30074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43921</v>
      </c>
      <c r="D580" s="99" t="s">
        <v>583</v>
      </c>
      <c r="E580" s="474">
        <v>4</v>
      </c>
      <c r="F580" s="99" t="s">
        <v>582</v>
      </c>
      <c r="H580" s="99">
        <f>'Справка 6'!G42</f>
        <v>838792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43921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43921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43921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43921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43921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43921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43921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43921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43921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43921</v>
      </c>
      <c r="D590" s="99" t="s">
        <v>547</v>
      </c>
      <c r="E590" s="474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43921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43921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43921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43921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43921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43921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43921</v>
      </c>
      <c r="D597" s="99" t="s">
        <v>562</v>
      </c>
      <c r="E597" s="474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43921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43921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43921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43921</v>
      </c>
      <c r="D601" s="99" t="s">
        <v>566</v>
      </c>
      <c r="E601" s="474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43921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43921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43921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43921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43921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43921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43921</v>
      </c>
      <c r="D608" s="99" t="s">
        <v>578</v>
      </c>
      <c r="E608" s="474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43921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43921</v>
      </c>
      <c r="D610" s="99" t="s">
        <v>583</v>
      </c>
      <c r="E610" s="474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43921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43921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43921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43921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43921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43921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43921</v>
      </c>
      <c r="D617" s="99" t="s">
        <v>540</v>
      </c>
      <c r="E617" s="474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43921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43921</v>
      </c>
      <c r="D619" s="99" t="s">
        <v>545</v>
      </c>
      <c r="E619" s="474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43921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43921</v>
      </c>
      <c r="D621" s="99" t="s">
        <v>549</v>
      </c>
      <c r="E621" s="474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43921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43921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43921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43921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43921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43921</v>
      </c>
      <c r="D627" s="99" t="s">
        <v>562</v>
      </c>
      <c r="E627" s="474">
        <v>6</v>
      </c>
      <c r="F627" s="99" t="s">
        <v>561</v>
      </c>
      <c r="H627" s="99">
        <f>'Справка 6'!I29</f>
        <v>681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43921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43921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43921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43921</v>
      </c>
      <c r="D631" s="99" t="s">
        <v>566</v>
      </c>
      <c r="E631" s="474">
        <v>6</v>
      </c>
      <c r="F631" s="99" t="s">
        <v>115</v>
      </c>
      <c r="H631" s="99">
        <f>'Справка 6'!I33</f>
        <v>681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43921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43921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43921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43921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43921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43921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43921</v>
      </c>
      <c r="D638" s="99" t="s">
        <v>578</v>
      </c>
      <c r="E638" s="474">
        <v>6</v>
      </c>
      <c r="F638" s="99" t="s">
        <v>803</v>
      </c>
      <c r="H638" s="99">
        <f>'Справка 6'!I40</f>
        <v>681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43921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43921</v>
      </c>
      <c r="D640" s="99" t="s">
        <v>583</v>
      </c>
      <c r="E640" s="474">
        <v>6</v>
      </c>
      <c r="F640" s="99" t="s">
        <v>582</v>
      </c>
      <c r="H640" s="99">
        <f>'Справка 6'!I42</f>
        <v>681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43921</v>
      </c>
      <c r="D641" s="99" t="s">
        <v>523</v>
      </c>
      <c r="E641" s="474">
        <v>7</v>
      </c>
      <c r="F641" s="99" t="s">
        <v>522</v>
      </c>
      <c r="H641" s="99">
        <f>'Справка 6'!J11</f>
        <v>60639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43921</v>
      </c>
      <c r="D642" s="99" t="s">
        <v>526</v>
      </c>
      <c r="E642" s="474">
        <v>7</v>
      </c>
      <c r="F642" s="99" t="s">
        <v>525</v>
      </c>
      <c r="H642" s="99">
        <f>'Справка 6'!J12</f>
        <v>224254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43921</v>
      </c>
      <c r="D643" s="99" t="s">
        <v>529</v>
      </c>
      <c r="E643" s="474">
        <v>7</v>
      </c>
      <c r="F643" s="99" t="s">
        <v>528</v>
      </c>
      <c r="H643" s="99">
        <f>'Справка 6'!J13</f>
        <v>236177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43921</v>
      </c>
      <c r="D644" s="99" t="s">
        <v>532</v>
      </c>
      <c r="E644" s="474">
        <v>7</v>
      </c>
      <c r="F644" s="99" t="s">
        <v>531</v>
      </c>
      <c r="H644" s="99">
        <f>'Справка 6'!J14</f>
        <v>21985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43921</v>
      </c>
      <c r="D645" s="99" t="s">
        <v>535</v>
      </c>
      <c r="E645" s="474">
        <v>7</v>
      </c>
      <c r="F645" s="99" t="s">
        <v>534</v>
      </c>
      <c r="H645" s="99">
        <f>'Справка 6'!J15</f>
        <v>26510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43921</v>
      </c>
      <c r="D646" s="99" t="s">
        <v>537</v>
      </c>
      <c r="E646" s="474">
        <v>7</v>
      </c>
      <c r="F646" s="99" t="s">
        <v>536</v>
      </c>
      <c r="H646" s="99">
        <f>'Справка 6'!J16</f>
        <v>24438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43921</v>
      </c>
      <c r="D647" s="99" t="s">
        <v>540</v>
      </c>
      <c r="E647" s="474">
        <v>7</v>
      </c>
      <c r="F647" s="99" t="s">
        <v>539</v>
      </c>
      <c r="H647" s="99">
        <f>'Справка 6'!J17</f>
        <v>30095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43921</v>
      </c>
      <c r="D648" s="99" t="s">
        <v>543</v>
      </c>
      <c r="E648" s="474">
        <v>7</v>
      </c>
      <c r="F648" s="99" t="s">
        <v>542</v>
      </c>
      <c r="H648" s="99">
        <f>'Справка 6'!J18</f>
        <v>445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43921</v>
      </c>
      <c r="D649" s="99" t="s">
        <v>545</v>
      </c>
      <c r="E649" s="474">
        <v>7</v>
      </c>
      <c r="F649" s="99" t="s">
        <v>804</v>
      </c>
      <c r="H649" s="99">
        <f>'Справка 6'!J19</f>
        <v>624543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43921</v>
      </c>
      <c r="D650" s="99" t="s">
        <v>547</v>
      </c>
      <c r="E650" s="474">
        <v>7</v>
      </c>
      <c r="F650" s="99" t="s">
        <v>546</v>
      </c>
      <c r="H650" s="99">
        <f>'Справка 6'!J20</f>
        <v>11277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43921</v>
      </c>
      <c r="D651" s="99" t="s">
        <v>549</v>
      </c>
      <c r="E651" s="474">
        <v>7</v>
      </c>
      <c r="F651" s="99" t="s">
        <v>548</v>
      </c>
      <c r="H651" s="99">
        <f>'Справка 6'!J21</f>
        <v>355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43921</v>
      </c>
      <c r="D652" s="99" t="s">
        <v>553</v>
      </c>
      <c r="E652" s="474">
        <v>7</v>
      </c>
      <c r="F652" s="99" t="s">
        <v>552</v>
      </c>
      <c r="H652" s="99">
        <f>'Справка 6'!J23</f>
        <v>65759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43921</v>
      </c>
      <c r="D653" s="99" t="s">
        <v>555</v>
      </c>
      <c r="E653" s="474">
        <v>7</v>
      </c>
      <c r="F653" s="99" t="s">
        <v>554</v>
      </c>
      <c r="H653" s="99">
        <f>'Справка 6'!J24</f>
        <v>22105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43921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43921</v>
      </c>
      <c r="D655" s="99" t="s">
        <v>558</v>
      </c>
      <c r="E655" s="474">
        <v>7</v>
      </c>
      <c r="F655" s="99" t="s">
        <v>542</v>
      </c>
      <c r="H655" s="99">
        <f>'Справка 6'!J26</f>
        <v>7488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43921</v>
      </c>
      <c r="D656" s="99" t="s">
        <v>560</v>
      </c>
      <c r="E656" s="474">
        <v>7</v>
      </c>
      <c r="F656" s="99" t="s">
        <v>838</v>
      </c>
      <c r="H656" s="99">
        <f>'Справка 6'!J27</f>
        <v>95352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43921</v>
      </c>
      <c r="D657" s="99" t="s">
        <v>562</v>
      </c>
      <c r="E657" s="474">
        <v>7</v>
      </c>
      <c r="F657" s="99" t="s">
        <v>561</v>
      </c>
      <c r="H657" s="99">
        <f>'Справка 6'!J29</f>
        <v>76510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43921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43921</v>
      </c>
      <c r="D659" s="99" t="s">
        <v>564</v>
      </c>
      <c r="E659" s="474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43921</v>
      </c>
      <c r="D660" s="99" t="s">
        <v>565</v>
      </c>
      <c r="E660" s="474">
        <v>7</v>
      </c>
      <c r="F660" s="99" t="s">
        <v>113</v>
      </c>
      <c r="H660" s="99">
        <f>'Справка 6'!J32</f>
        <v>63532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43921</v>
      </c>
      <c r="D661" s="99" t="s">
        <v>566</v>
      </c>
      <c r="E661" s="474">
        <v>7</v>
      </c>
      <c r="F661" s="99" t="s">
        <v>115</v>
      </c>
      <c r="H661" s="99">
        <f>'Справка 6'!J33</f>
        <v>12978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43921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43921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43921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43921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43921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43921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43921</v>
      </c>
      <c r="D668" s="99" t="s">
        <v>578</v>
      </c>
      <c r="E668" s="474">
        <v>7</v>
      </c>
      <c r="F668" s="99" t="s">
        <v>803</v>
      </c>
      <c r="H668" s="99">
        <f>'Справка 6'!J40</f>
        <v>76510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43921</v>
      </c>
      <c r="D669" s="99" t="s">
        <v>581</v>
      </c>
      <c r="E669" s="474">
        <v>7</v>
      </c>
      <c r="F669" s="99" t="s">
        <v>580</v>
      </c>
      <c r="H669" s="99">
        <f>'Справка 6'!J41</f>
        <v>30074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43921</v>
      </c>
      <c r="D670" s="99" t="s">
        <v>583</v>
      </c>
      <c r="E670" s="474">
        <v>7</v>
      </c>
      <c r="F670" s="99" t="s">
        <v>582</v>
      </c>
      <c r="H670" s="99">
        <f>'Справка 6'!J42</f>
        <v>838111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43921</v>
      </c>
      <c r="D671" s="99" t="s">
        <v>523</v>
      </c>
      <c r="E671" s="474">
        <v>8</v>
      </c>
      <c r="F671" s="99" t="s">
        <v>522</v>
      </c>
      <c r="H671" s="99">
        <f>'Справка 6'!K11</f>
        <v>1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43921</v>
      </c>
      <c r="D672" s="99" t="s">
        <v>526</v>
      </c>
      <c r="E672" s="474">
        <v>8</v>
      </c>
      <c r="F672" s="99" t="s">
        <v>525</v>
      </c>
      <c r="H672" s="99">
        <f>'Справка 6'!K12</f>
        <v>66186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43921</v>
      </c>
      <c r="D673" s="99" t="s">
        <v>529</v>
      </c>
      <c r="E673" s="474">
        <v>8</v>
      </c>
      <c r="F673" s="99" t="s">
        <v>528</v>
      </c>
      <c r="H673" s="99">
        <f>'Справка 6'!K13</f>
        <v>133877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43921</v>
      </c>
      <c r="D674" s="99" t="s">
        <v>532</v>
      </c>
      <c r="E674" s="474">
        <v>8</v>
      </c>
      <c r="F674" s="99" t="s">
        <v>531</v>
      </c>
      <c r="H674" s="99">
        <f>'Справка 6'!K14</f>
        <v>7667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43921</v>
      </c>
      <c r="D675" s="99" t="s">
        <v>535</v>
      </c>
      <c r="E675" s="474">
        <v>8</v>
      </c>
      <c r="F675" s="99" t="s">
        <v>534</v>
      </c>
      <c r="H675" s="99">
        <f>'Справка 6'!K15</f>
        <v>14884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43921</v>
      </c>
      <c r="D676" s="99" t="s">
        <v>537</v>
      </c>
      <c r="E676" s="474">
        <v>8</v>
      </c>
      <c r="F676" s="99" t="s">
        <v>536</v>
      </c>
      <c r="H676" s="99">
        <f>'Справка 6'!K16</f>
        <v>16338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43921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43921</v>
      </c>
      <c r="D678" s="99" t="s">
        <v>543</v>
      </c>
      <c r="E678" s="474">
        <v>8</v>
      </c>
      <c r="F678" s="99" t="s">
        <v>542</v>
      </c>
      <c r="H678" s="99">
        <f>'Справка 6'!K18</f>
        <v>99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43921</v>
      </c>
      <c r="D679" s="99" t="s">
        <v>545</v>
      </c>
      <c r="E679" s="474">
        <v>8</v>
      </c>
      <c r="F679" s="99" t="s">
        <v>804</v>
      </c>
      <c r="H679" s="99">
        <f>'Справка 6'!K19</f>
        <v>239052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43921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43921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43921</v>
      </c>
      <c r="D682" s="99" t="s">
        <v>553</v>
      </c>
      <c r="E682" s="474">
        <v>8</v>
      </c>
      <c r="F682" s="99" t="s">
        <v>552</v>
      </c>
      <c r="H682" s="99">
        <f>'Справка 6'!K23</f>
        <v>38501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43921</v>
      </c>
      <c r="D683" s="99" t="s">
        <v>555</v>
      </c>
      <c r="E683" s="474">
        <v>8</v>
      </c>
      <c r="F683" s="99" t="s">
        <v>554</v>
      </c>
      <c r="H683" s="99">
        <f>'Справка 6'!K24</f>
        <v>11313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43921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43921</v>
      </c>
      <c r="D685" s="99" t="s">
        <v>558</v>
      </c>
      <c r="E685" s="474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43921</v>
      </c>
      <c r="D686" s="99" t="s">
        <v>560</v>
      </c>
      <c r="E686" s="474">
        <v>8</v>
      </c>
      <c r="F686" s="99" t="s">
        <v>838</v>
      </c>
      <c r="H686" s="99">
        <f>'Справка 6'!K27</f>
        <v>52176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43921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43921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43921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43921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43921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43921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43921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43921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43921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43921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43921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43921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43921</v>
      </c>
      <c r="D699" s="99" t="s">
        <v>581</v>
      </c>
      <c r="E699" s="474">
        <v>8</v>
      </c>
      <c r="F699" s="99" t="s">
        <v>580</v>
      </c>
      <c r="H699" s="99">
        <f>'Справка 6'!K41</f>
        <v>14393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43921</v>
      </c>
      <c r="D700" s="99" t="s">
        <v>583</v>
      </c>
      <c r="E700" s="474">
        <v>8</v>
      </c>
      <c r="F700" s="99" t="s">
        <v>582</v>
      </c>
      <c r="H700" s="99">
        <f>'Справка 6'!K42</f>
        <v>305621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43921</v>
      </c>
      <c r="D701" s="99" t="s">
        <v>523</v>
      </c>
      <c r="E701" s="474">
        <v>9</v>
      </c>
      <c r="F701" s="99" t="s">
        <v>522</v>
      </c>
      <c r="H701" s="99">
        <f>'Справка 6'!L11</f>
        <v>2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43921</v>
      </c>
      <c r="D702" s="99" t="s">
        <v>526</v>
      </c>
      <c r="E702" s="474">
        <v>9</v>
      </c>
      <c r="F702" s="99" t="s">
        <v>525</v>
      </c>
      <c r="H702" s="99">
        <f>'Справка 6'!L12</f>
        <v>4609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43921</v>
      </c>
      <c r="D703" s="99" t="s">
        <v>529</v>
      </c>
      <c r="E703" s="474">
        <v>9</v>
      </c>
      <c r="F703" s="99" t="s">
        <v>528</v>
      </c>
      <c r="H703" s="99">
        <f>'Справка 6'!L13</f>
        <v>3379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43921</v>
      </c>
      <c r="D704" s="99" t="s">
        <v>532</v>
      </c>
      <c r="E704" s="474">
        <v>9</v>
      </c>
      <c r="F704" s="99" t="s">
        <v>531</v>
      </c>
      <c r="H704" s="99">
        <f>'Справка 6'!L14</f>
        <v>259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43921</v>
      </c>
      <c r="D705" s="99" t="s">
        <v>535</v>
      </c>
      <c r="E705" s="474">
        <v>9</v>
      </c>
      <c r="F705" s="99" t="s">
        <v>534</v>
      </c>
      <c r="H705" s="99">
        <f>'Справка 6'!L15</f>
        <v>1159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43921</v>
      </c>
      <c r="D706" s="99" t="s">
        <v>537</v>
      </c>
      <c r="E706" s="474">
        <v>9</v>
      </c>
      <c r="F706" s="99" t="s">
        <v>536</v>
      </c>
      <c r="H706" s="99">
        <f>'Справка 6'!L16</f>
        <v>570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43921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43921</v>
      </c>
      <c r="D708" s="99" t="s">
        <v>543</v>
      </c>
      <c r="E708" s="474">
        <v>9</v>
      </c>
      <c r="F708" s="99" t="s">
        <v>542</v>
      </c>
      <c r="H708" s="99">
        <f>'Справка 6'!L18</f>
        <v>12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43921</v>
      </c>
      <c r="D709" s="99" t="s">
        <v>545</v>
      </c>
      <c r="E709" s="474">
        <v>9</v>
      </c>
      <c r="F709" s="99" t="s">
        <v>804</v>
      </c>
      <c r="H709" s="99">
        <f>'Справка 6'!L19</f>
        <v>9990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43921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43921</v>
      </c>
      <c r="D711" s="99" t="s">
        <v>549</v>
      </c>
      <c r="E711" s="474">
        <v>9</v>
      </c>
      <c r="F711" s="99" t="s">
        <v>548</v>
      </c>
      <c r="H711" s="99">
        <f>'Справка 6'!L21</f>
        <v>8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43921</v>
      </c>
      <c r="D712" s="99" t="s">
        <v>553</v>
      </c>
      <c r="E712" s="474">
        <v>9</v>
      </c>
      <c r="F712" s="99" t="s">
        <v>552</v>
      </c>
      <c r="H712" s="99">
        <f>'Справка 6'!L23</f>
        <v>1171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43921</v>
      </c>
      <c r="D713" s="99" t="s">
        <v>555</v>
      </c>
      <c r="E713" s="474">
        <v>9</v>
      </c>
      <c r="F713" s="99" t="s">
        <v>554</v>
      </c>
      <c r="H713" s="99">
        <f>'Справка 6'!L24</f>
        <v>538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43921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43921</v>
      </c>
      <c r="D715" s="99" t="s">
        <v>558</v>
      </c>
      <c r="E715" s="474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43921</v>
      </c>
      <c r="D716" s="99" t="s">
        <v>560</v>
      </c>
      <c r="E716" s="474">
        <v>9</v>
      </c>
      <c r="F716" s="99" t="s">
        <v>838</v>
      </c>
      <c r="H716" s="99">
        <f>'Справка 6'!L27</f>
        <v>1709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43921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43921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43921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43921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43921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43921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43921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43921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43921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43921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43921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43921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43921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43921</v>
      </c>
      <c r="D730" s="99" t="s">
        <v>583</v>
      </c>
      <c r="E730" s="474">
        <v>9</v>
      </c>
      <c r="F730" s="99" t="s">
        <v>582</v>
      </c>
      <c r="H730" s="99">
        <f>'Справка 6'!L42</f>
        <v>11707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43921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43921</v>
      </c>
      <c r="D732" s="99" t="s">
        <v>526</v>
      </c>
      <c r="E732" s="474">
        <v>10</v>
      </c>
      <c r="F732" s="99" t="s">
        <v>525</v>
      </c>
      <c r="H732" s="99">
        <f>'Справка 6'!M12</f>
        <v>124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43921</v>
      </c>
      <c r="D733" s="99" t="s">
        <v>529</v>
      </c>
      <c r="E733" s="474">
        <v>10</v>
      </c>
      <c r="F733" s="99" t="s">
        <v>528</v>
      </c>
      <c r="H733" s="99">
        <f>'Справка 6'!M13</f>
        <v>156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43921</v>
      </c>
      <c r="D734" s="99" t="s">
        <v>532</v>
      </c>
      <c r="E734" s="474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43921</v>
      </c>
      <c r="D735" s="99" t="s">
        <v>535</v>
      </c>
      <c r="E735" s="474">
        <v>10</v>
      </c>
      <c r="F735" s="99" t="s">
        <v>534</v>
      </c>
      <c r="H735" s="99">
        <f>'Справка 6'!M15</f>
        <v>558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43921</v>
      </c>
      <c r="D736" s="99" t="s">
        <v>537</v>
      </c>
      <c r="E736" s="474">
        <v>10</v>
      </c>
      <c r="F736" s="99" t="s">
        <v>536</v>
      </c>
      <c r="H736" s="99">
        <f>'Справка 6'!M16</f>
        <v>488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43921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43921</v>
      </c>
      <c r="D738" s="99" t="s">
        <v>543</v>
      </c>
      <c r="E738" s="474">
        <v>10</v>
      </c>
      <c r="F738" s="99" t="s">
        <v>542</v>
      </c>
      <c r="H738" s="99">
        <f>'Справка 6'!M18</f>
        <v>10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43921</v>
      </c>
      <c r="D739" s="99" t="s">
        <v>545</v>
      </c>
      <c r="E739" s="474">
        <v>10</v>
      </c>
      <c r="F739" s="99" t="s">
        <v>804</v>
      </c>
      <c r="H739" s="99">
        <f>'Справка 6'!M19</f>
        <v>1336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43921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43921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43921</v>
      </c>
      <c r="D742" s="99" t="s">
        <v>553</v>
      </c>
      <c r="E742" s="474">
        <v>10</v>
      </c>
      <c r="F742" s="99" t="s">
        <v>552</v>
      </c>
      <c r="H742" s="99">
        <f>'Справка 6'!M23</f>
        <v>1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43921</v>
      </c>
      <c r="D743" s="99" t="s">
        <v>555</v>
      </c>
      <c r="E743" s="474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43921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43921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43921</v>
      </c>
      <c r="D746" s="99" t="s">
        <v>560</v>
      </c>
      <c r="E746" s="474">
        <v>10</v>
      </c>
      <c r="F746" s="99" t="s">
        <v>838</v>
      </c>
      <c r="H746" s="99">
        <f>'Справка 6'!M27</f>
        <v>1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43921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43921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43921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43921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43921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43921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43921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43921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43921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43921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43921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43921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43921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43921</v>
      </c>
      <c r="D760" s="99" t="s">
        <v>583</v>
      </c>
      <c r="E760" s="474">
        <v>10</v>
      </c>
      <c r="F760" s="99" t="s">
        <v>582</v>
      </c>
      <c r="H760" s="99">
        <f>'Справка 6'!M42</f>
        <v>1337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43921</v>
      </c>
      <c r="D761" s="99" t="s">
        <v>523</v>
      </c>
      <c r="E761" s="474">
        <v>11</v>
      </c>
      <c r="F761" s="99" t="s">
        <v>522</v>
      </c>
      <c r="H761" s="99">
        <f>'Справка 6'!N11</f>
        <v>3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43921</v>
      </c>
      <c r="D762" s="99" t="s">
        <v>526</v>
      </c>
      <c r="E762" s="474">
        <v>11</v>
      </c>
      <c r="F762" s="99" t="s">
        <v>525</v>
      </c>
      <c r="H762" s="99">
        <f>'Справка 6'!N12</f>
        <v>70671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43921</v>
      </c>
      <c r="D763" s="99" t="s">
        <v>529</v>
      </c>
      <c r="E763" s="474">
        <v>11</v>
      </c>
      <c r="F763" s="99" t="s">
        <v>528</v>
      </c>
      <c r="H763" s="99">
        <f>'Справка 6'!N13</f>
        <v>137100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43921</v>
      </c>
      <c r="D764" s="99" t="s">
        <v>532</v>
      </c>
      <c r="E764" s="474">
        <v>11</v>
      </c>
      <c r="F764" s="99" t="s">
        <v>531</v>
      </c>
      <c r="H764" s="99">
        <f>'Справка 6'!N14</f>
        <v>7926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43921</v>
      </c>
      <c r="D765" s="99" t="s">
        <v>535</v>
      </c>
      <c r="E765" s="474">
        <v>11</v>
      </c>
      <c r="F765" s="99" t="s">
        <v>534</v>
      </c>
      <c r="H765" s="99">
        <f>'Справка 6'!N15</f>
        <v>15485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43921</v>
      </c>
      <c r="D766" s="99" t="s">
        <v>537</v>
      </c>
      <c r="E766" s="474">
        <v>11</v>
      </c>
      <c r="F766" s="99" t="s">
        <v>536</v>
      </c>
      <c r="H766" s="99">
        <f>'Справка 6'!N16</f>
        <v>16420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43921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43921</v>
      </c>
      <c r="D768" s="99" t="s">
        <v>543</v>
      </c>
      <c r="E768" s="474">
        <v>11</v>
      </c>
      <c r="F768" s="99" t="s">
        <v>542</v>
      </c>
      <c r="H768" s="99">
        <f>'Справка 6'!N18</f>
        <v>101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43921</v>
      </c>
      <c r="D769" s="99" t="s">
        <v>545</v>
      </c>
      <c r="E769" s="474">
        <v>11</v>
      </c>
      <c r="F769" s="99" t="s">
        <v>804</v>
      </c>
      <c r="H769" s="99">
        <f>'Справка 6'!N19</f>
        <v>247706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43921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43921</v>
      </c>
      <c r="D771" s="99" t="s">
        <v>549</v>
      </c>
      <c r="E771" s="474">
        <v>11</v>
      </c>
      <c r="F771" s="99" t="s">
        <v>548</v>
      </c>
      <c r="H771" s="99">
        <f>'Справка 6'!N21</f>
        <v>8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43921</v>
      </c>
      <c r="D772" s="99" t="s">
        <v>553</v>
      </c>
      <c r="E772" s="474">
        <v>11</v>
      </c>
      <c r="F772" s="99" t="s">
        <v>552</v>
      </c>
      <c r="H772" s="99">
        <f>'Справка 6'!N23</f>
        <v>39671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43921</v>
      </c>
      <c r="D773" s="99" t="s">
        <v>555</v>
      </c>
      <c r="E773" s="474">
        <v>11</v>
      </c>
      <c r="F773" s="99" t="s">
        <v>554</v>
      </c>
      <c r="H773" s="99">
        <f>'Справка 6'!N24</f>
        <v>11851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43921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43921</v>
      </c>
      <c r="D775" s="99" t="s">
        <v>558</v>
      </c>
      <c r="E775" s="474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43921</v>
      </c>
      <c r="D776" s="99" t="s">
        <v>560</v>
      </c>
      <c r="E776" s="474">
        <v>11</v>
      </c>
      <c r="F776" s="99" t="s">
        <v>838</v>
      </c>
      <c r="H776" s="99">
        <f>'Справка 6'!N27</f>
        <v>53884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43921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43921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43921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43921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43921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43921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43921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43921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43921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43921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43921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43921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43921</v>
      </c>
      <c r="D789" s="99" t="s">
        <v>581</v>
      </c>
      <c r="E789" s="474">
        <v>11</v>
      </c>
      <c r="F789" s="99" t="s">
        <v>580</v>
      </c>
      <c r="H789" s="99">
        <f>'Справка 6'!N41</f>
        <v>14393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43921</v>
      </c>
      <c r="D790" s="99" t="s">
        <v>583</v>
      </c>
      <c r="E790" s="474">
        <v>11</v>
      </c>
      <c r="F790" s="99" t="s">
        <v>582</v>
      </c>
      <c r="H790" s="99">
        <f>'Справка 6'!N42</f>
        <v>315991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43921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43921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43921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43921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43921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43921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43921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43921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43921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43921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43921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43921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43921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43921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43921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43921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43921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43921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43921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43921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43921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43921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43921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43921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43921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43921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43921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43921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43921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43921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43921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43921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43921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43921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43921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43921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43921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43921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43921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43921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43921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43921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43921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43921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43921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43921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43921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43921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43921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43921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43921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43921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43921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43921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43921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43921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43921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43921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43921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43921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43921</v>
      </c>
      <c r="D851" s="99" t="s">
        <v>523</v>
      </c>
      <c r="E851" s="474">
        <v>14</v>
      </c>
      <c r="F851" s="99" t="s">
        <v>522</v>
      </c>
      <c r="H851" s="99">
        <f>'Справка 6'!Q11</f>
        <v>3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43921</v>
      </c>
      <c r="D852" s="99" t="s">
        <v>526</v>
      </c>
      <c r="E852" s="474">
        <v>14</v>
      </c>
      <c r="F852" s="99" t="s">
        <v>525</v>
      </c>
      <c r="H852" s="99">
        <f>'Справка 6'!Q12</f>
        <v>70671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43921</v>
      </c>
      <c r="D853" s="99" t="s">
        <v>529</v>
      </c>
      <c r="E853" s="474">
        <v>14</v>
      </c>
      <c r="F853" s="99" t="s">
        <v>528</v>
      </c>
      <c r="H853" s="99">
        <f>'Справка 6'!Q13</f>
        <v>137100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43921</v>
      </c>
      <c r="D854" s="99" t="s">
        <v>532</v>
      </c>
      <c r="E854" s="474">
        <v>14</v>
      </c>
      <c r="F854" s="99" t="s">
        <v>531</v>
      </c>
      <c r="H854" s="99">
        <f>'Справка 6'!Q14</f>
        <v>7926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43921</v>
      </c>
      <c r="D855" s="99" t="s">
        <v>535</v>
      </c>
      <c r="E855" s="474">
        <v>14</v>
      </c>
      <c r="F855" s="99" t="s">
        <v>534</v>
      </c>
      <c r="H855" s="99">
        <f>'Справка 6'!Q15</f>
        <v>15485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43921</v>
      </c>
      <c r="D856" s="99" t="s">
        <v>537</v>
      </c>
      <c r="E856" s="474">
        <v>14</v>
      </c>
      <c r="F856" s="99" t="s">
        <v>536</v>
      </c>
      <c r="H856" s="99">
        <f>'Справка 6'!Q16</f>
        <v>16420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43921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43921</v>
      </c>
      <c r="D858" s="99" t="s">
        <v>543</v>
      </c>
      <c r="E858" s="474">
        <v>14</v>
      </c>
      <c r="F858" s="99" t="s">
        <v>542</v>
      </c>
      <c r="H858" s="99">
        <f>'Справка 6'!Q18</f>
        <v>101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43921</v>
      </c>
      <c r="D859" s="99" t="s">
        <v>545</v>
      </c>
      <c r="E859" s="474">
        <v>14</v>
      </c>
      <c r="F859" s="99" t="s">
        <v>804</v>
      </c>
      <c r="H859" s="99">
        <f>'Справка 6'!Q19</f>
        <v>247706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43921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43921</v>
      </c>
      <c r="D861" s="99" t="s">
        <v>549</v>
      </c>
      <c r="E861" s="474">
        <v>14</v>
      </c>
      <c r="F861" s="99" t="s">
        <v>548</v>
      </c>
      <c r="H861" s="99">
        <f>'Справка 6'!Q21</f>
        <v>8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43921</v>
      </c>
      <c r="D862" s="99" t="s">
        <v>553</v>
      </c>
      <c r="E862" s="474">
        <v>14</v>
      </c>
      <c r="F862" s="99" t="s">
        <v>552</v>
      </c>
      <c r="H862" s="99">
        <f>'Справка 6'!Q23</f>
        <v>39671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43921</v>
      </c>
      <c r="D863" s="99" t="s">
        <v>555</v>
      </c>
      <c r="E863" s="474">
        <v>14</v>
      </c>
      <c r="F863" s="99" t="s">
        <v>554</v>
      </c>
      <c r="H863" s="99">
        <f>'Справка 6'!Q24</f>
        <v>11851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43921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43921</v>
      </c>
      <c r="D865" s="99" t="s">
        <v>558</v>
      </c>
      <c r="E865" s="474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43921</v>
      </c>
      <c r="D866" s="99" t="s">
        <v>560</v>
      </c>
      <c r="E866" s="474">
        <v>14</v>
      </c>
      <c r="F866" s="99" t="s">
        <v>838</v>
      </c>
      <c r="H866" s="99">
        <f>'Справка 6'!Q27</f>
        <v>53884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43921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43921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43921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43921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43921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43921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43921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43921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43921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43921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43921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43921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43921</v>
      </c>
      <c r="D879" s="99" t="s">
        <v>581</v>
      </c>
      <c r="E879" s="474">
        <v>14</v>
      </c>
      <c r="F879" s="99" t="s">
        <v>580</v>
      </c>
      <c r="H879" s="99">
        <f>'Справка 6'!Q41</f>
        <v>14393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43921</v>
      </c>
      <c r="D880" s="99" t="s">
        <v>583</v>
      </c>
      <c r="E880" s="474">
        <v>14</v>
      </c>
      <c r="F880" s="99" t="s">
        <v>582</v>
      </c>
      <c r="H880" s="99">
        <f>'Справка 6'!Q42</f>
        <v>315991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43921</v>
      </c>
      <c r="D881" s="99" t="s">
        <v>523</v>
      </c>
      <c r="E881" s="474">
        <v>15</v>
      </c>
      <c r="F881" s="99" t="s">
        <v>522</v>
      </c>
      <c r="H881" s="99">
        <f>'Справка 6'!R11</f>
        <v>60636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43921</v>
      </c>
      <c r="D882" s="99" t="s">
        <v>526</v>
      </c>
      <c r="E882" s="474">
        <v>15</v>
      </c>
      <c r="F882" s="99" t="s">
        <v>525</v>
      </c>
      <c r="H882" s="99">
        <f>'Справка 6'!R12</f>
        <v>153583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43921</v>
      </c>
      <c r="D883" s="99" t="s">
        <v>529</v>
      </c>
      <c r="E883" s="474">
        <v>15</v>
      </c>
      <c r="F883" s="99" t="s">
        <v>528</v>
      </c>
      <c r="H883" s="99">
        <f>'Справка 6'!R13</f>
        <v>99077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43921</v>
      </c>
      <c r="D884" s="99" t="s">
        <v>532</v>
      </c>
      <c r="E884" s="474">
        <v>15</v>
      </c>
      <c r="F884" s="99" t="s">
        <v>531</v>
      </c>
      <c r="H884" s="99">
        <f>'Справка 6'!R14</f>
        <v>14059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43921</v>
      </c>
      <c r="D885" s="99" t="s">
        <v>535</v>
      </c>
      <c r="E885" s="474">
        <v>15</v>
      </c>
      <c r="F885" s="99" t="s">
        <v>534</v>
      </c>
      <c r="H885" s="99">
        <f>'Справка 6'!R15</f>
        <v>11025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43921</v>
      </c>
      <c r="D886" s="99" t="s">
        <v>537</v>
      </c>
      <c r="E886" s="474">
        <v>15</v>
      </c>
      <c r="F886" s="99" t="s">
        <v>536</v>
      </c>
      <c r="H886" s="99">
        <f>'Справка 6'!R16</f>
        <v>8018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43921</v>
      </c>
      <c r="D887" s="99" t="s">
        <v>540</v>
      </c>
      <c r="E887" s="474">
        <v>15</v>
      </c>
      <c r="F887" s="99" t="s">
        <v>539</v>
      </c>
      <c r="H887" s="99">
        <f>'Справка 6'!R17</f>
        <v>30095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43921</v>
      </c>
      <c r="D888" s="99" t="s">
        <v>543</v>
      </c>
      <c r="E888" s="474">
        <v>15</v>
      </c>
      <c r="F888" s="99" t="s">
        <v>542</v>
      </c>
      <c r="H888" s="99">
        <f>'Справка 6'!R18</f>
        <v>344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43921</v>
      </c>
      <c r="D889" s="99" t="s">
        <v>545</v>
      </c>
      <c r="E889" s="474">
        <v>15</v>
      </c>
      <c r="F889" s="99" t="s">
        <v>804</v>
      </c>
      <c r="H889" s="99">
        <f>'Справка 6'!R19</f>
        <v>376837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43921</v>
      </c>
      <c r="D890" s="99" t="s">
        <v>547</v>
      </c>
      <c r="E890" s="474">
        <v>15</v>
      </c>
      <c r="F890" s="99" t="s">
        <v>546</v>
      </c>
      <c r="H890" s="99">
        <f>'Справка 6'!R20</f>
        <v>11277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43921</v>
      </c>
      <c r="D891" s="99" t="s">
        <v>549</v>
      </c>
      <c r="E891" s="474">
        <v>15</v>
      </c>
      <c r="F891" s="99" t="s">
        <v>548</v>
      </c>
      <c r="H891" s="99">
        <f>'Справка 6'!R21</f>
        <v>347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43921</v>
      </c>
      <c r="D892" s="99" t="s">
        <v>553</v>
      </c>
      <c r="E892" s="474">
        <v>15</v>
      </c>
      <c r="F892" s="99" t="s">
        <v>552</v>
      </c>
      <c r="H892" s="99">
        <f>'Справка 6'!R23</f>
        <v>26088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43921</v>
      </c>
      <c r="D893" s="99" t="s">
        <v>555</v>
      </c>
      <c r="E893" s="474">
        <v>15</v>
      </c>
      <c r="F893" s="99" t="s">
        <v>554</v>
      </c>
      <c r="H893" s="99">
        <f>'Справка 6'!R24</f>
        <v>10254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43921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43921</v>
      </c>
      <c r="D895" s="99" t="s">
        <v>558</v>
      </c>
      <c r="E895" s="474">
        <v>15</v>
      </c>
      <c r="F895" s="99" t="s">
        <v>542</v>
      </c>
      <c r="H895" s="99">
        <f>'Справка 6'!R26</f>
        <v>5126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43921</v>
      </c>
      <c r="D896" s="99" t="s">
        <v>560</v>
      </c>
      <c r="E896" s="474">
        <v>15</v>
      </c>
      <c r="F896" s="99" t="s">
        <v>838</v>
      </c>
      <c r="H896" s="99">
        <f>'Справка 6'!R27</f>
        <v>41468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43921</v>
      </c>
      <c r="D897" s="99" t="s">
        <v>562</v>
      </c>
      <c r="E897" s="474">
        <v>15</v>
      </c>
      <c r="F897" s="99" t="s">
        <v>561</v>
      </c>
      <c r="H897" s="99">
        <f>'Справка 6'!R29</f>
        <v>76510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43921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43921</v>
      </c>
      <c r="D899" s="99" t="s">
        <v>564</v>
      </c>
      <c r="E899" s="474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43921</v>
      </c>
      <c r="D900" s="99" t="s">
        <v>565</v>
      </c>
      <c r="E900" s="474">
        <v>15</v>
      </c>
      <c r="F900" s="99" t="s">
        <v>113</v>
      </c>
      <c r="H900" s="99">
        <f>'Справка 6'!R32</f>
        <v>63532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43921</v>
      </c>
      <c r="D901" s="99" t="s">
        <v>566</v>
      </c>
      <c r="E901" s="474">
        <v>15</v>
      </c>
      <c r="F901" s="99" t="s">
        <v>115</v>
      </c>
      <c r="H901" s="99">
        <f>'Справка 6'!R33</f>
        <v>12978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43921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43921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43921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43921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43921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43921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43921</v>
      </c>
      <c r="D908" s="99" t="s">
        <v>578</v>
      </c>
      <c r="E908" s="474">
        <v>15</v>
      </c>
      <c r="F908" s="99" t="s">
        <v>803</v>
      </c>
      <c r="H908" s="99">
        <f>'Справка 6'!R40</f>
        <v>76510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43921</v>
      </c>
      <c r="D909" s="99" t="s">
        <v>581</v>
      </c>
      <c r="E909" s="474">
        <v>15</v>
      </c>
      <c r="F909" s="99" t="s">
        <v>580</v>
      </c>
      <c r="H909" s="99">
        <f>'Справка 6'!R41</f>
        <v>15681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43921</v>
      </c>
      <c r="D910" s="99" t="s">
        <v>583</v>
      </c>
      <c r="E910" s="474">
        <v>15</v>
      </c>
      <c r="F910" s="99" t="s">
        <v>582</v>
      </c>
      <c r="H910" s="99">
        <f>'Справка 6'!R42</f>
        <v>522120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43921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43921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92686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43921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92497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43921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43921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189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43921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0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43921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0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43921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43921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0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43921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92686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43921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1949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43921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7859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43921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6929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43921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930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43921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43921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268151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43921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16711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43921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5907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43921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2101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43921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43921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13880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43921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1274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43921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6081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43921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43921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6525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43921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11880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43921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43921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43921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43921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11880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43921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326489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43921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421124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43921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43921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43921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43921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43921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43921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43921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43921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43921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43921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43921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43921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7859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43921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6929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43921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930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43921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43921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268151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43921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16711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43921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5907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43921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2101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43921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43921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13880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43921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1274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43921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6081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43921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43921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6525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43921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11880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43921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43921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43921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43921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11880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43921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326489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43921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326489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43921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43921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92686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43921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92497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43921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43921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189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43921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0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43921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0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43921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43921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0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43921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92686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43921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1949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43921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43921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43921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43921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43921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43921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43921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43921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43921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43921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43921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43921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43921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43921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43921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43921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43921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43921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43921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43921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43921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94635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43921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2504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43921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43921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43921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2504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43921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59339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43921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59339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43921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43921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43921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43921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43921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43921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43921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29100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43921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25167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43921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90943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43921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8093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43921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8822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43921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6225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43921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2597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43921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43921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281198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43921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281198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43921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43921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43921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43921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17832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43921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43921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43921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17832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43921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43921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171341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43921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43921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143415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43921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1116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43921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13205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43921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10693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43921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2869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43921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5870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43921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1954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43921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2912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43921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34008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43921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513201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43921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612237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43921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43921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43921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43921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43921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43921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43921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43921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43921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43921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43921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43921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43921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43921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43921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43921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43921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8822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43921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6225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43921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2597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43921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43921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281198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43921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281198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43921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43921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43921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43921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17832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43921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43921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43921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17832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43921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43921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171341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43921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43921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143415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43921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1116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43921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13205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43921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10693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43921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2869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43921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5870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43921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1954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43921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2912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43921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34008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43921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513201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43921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513201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43921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2504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43921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43921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43921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2504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43921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59339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43921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59339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43921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43921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43921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43921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43921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43921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43921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29100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43921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25167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43921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90943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43921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8093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43921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43921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43921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43921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43921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43921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43921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43921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43921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43921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43921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43921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43921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43921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43921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43921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43921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43921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43921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43921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43921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43921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43921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43921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43921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43921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43921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99036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43921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43921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43921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43921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43921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99478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43921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99478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43921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43921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43921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43921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43921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43921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43921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43921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43921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99478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43921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43921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43921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43921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43921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43921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195313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43921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195313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43921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43921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43921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43921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43921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43921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43921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43921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43921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43921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43921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43921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43921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43921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43921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43921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43921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43921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43921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43921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195313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43921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294791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43921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43921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43921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2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43921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2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43921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43921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43921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43921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43921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43921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43921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43921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43921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43921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43921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2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43921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2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43921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6982826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43921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43921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43921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43921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43921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6982826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43921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43921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9113467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43921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43921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43921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43921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43921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43921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9113467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43921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43921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43921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43921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43921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43921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43921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43921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43921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43921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43921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43921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43921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43921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43921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43921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43921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43921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43921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43921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43921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43921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43921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43921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43921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43921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43921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43921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43921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72810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43921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43921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43921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43921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43921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72810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43921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43921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34142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43921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43921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43921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43921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43921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43921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34142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43921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43921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43921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43921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43921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43921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43921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43921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43921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43921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43921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43921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43921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43921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43921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359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43921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43921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43921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43921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43921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359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43921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43921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43921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43921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43921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43921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43921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43921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43921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72451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43921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43921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43921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43921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43921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72451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43921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43921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34142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43921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43921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43921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43921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43921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43921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34142</v>
      </c>
    </row>
  </sheetData>
  <sheetProtection password="D554" sheet="1" objects="1" scenarios="1" insertRows="0"/>
  <customSheetViews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78A1B5DC-DDD3-47B7-ABD4-EC354C41CDDF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78A1B5DC-DDD3-47B7-ABD4-EC354C41CDD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zoomScale="80" zoomScaleNormal="80" zoomScaleSheetLayoutView="80" workbookViewId="0">
      <selection activeCell="G61" sqref="G61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5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31.03.2020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60636</v>
      </c>
      <c r="D12" s="187">
        <v>60639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153583</v>
      </c>
      <c r="D13" s="187">
        <v>157582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99077</v>
      </c>
      <c r="D14" s="187">
        <v>96693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14059</v>
      </c>
      <c r="D15" s="187">
        <v>13757</v>
      </c>
      <c r="E15" s="191" t="s">
        <v>36</v>
      </c>
      <c r="F15" s="87" t="s">
        <v>37</v>
      </c>
      <c r="G15" s="188">
        <v>-34142</v>
      </c>
      <c r="H15" s="187">
        <v>-34142</v>
      </c>
    </row>
    <row r="16" spans="1:8">
      <c r="A16" s="84" t="s">
        <v>38</v>
      </c>
      <c r="B16" s="86" t="s">
        <v>39</v>
      </c>
      <c r="C16" s="188">
        <v>11025</v>
      </c>
      <c r="D16" s="187">
        <v>11140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8018</v>
      </c>
      <c r="D17" s="187">
        <v>8266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30095</v>
      </c>
      <c r="D18" s="187">
        <v>29807</v>
      </c>
      <c r="E18" s="460" t="s">
        <v>47</v>
      </c>
      <c r="F18" s="459" t="s">
        <v>48</v>
      </c>
      <c r="G18" s="569">
        <f>G12+G15+G16+G17</f>
        <v>100656</v>
      </c>
      <c r="H18" s="570">
        <f>H12+H15+H16+H17</f>
        <v>100656</v>
      </c>
    </row>
    <row r="19" spans="1:13">
      <c r="A19" s="84" t="s">
        <v>49</v>
      </c>
      <c r="B19" s="86" t="s">
        <v>50</v>
      </c>
      <c r="C19" s="188">
        <v>344</v>
      </c>
      <c r="D19" s="187">
        <v>386</v>
      </c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376837</v>
      </c>
      <c r="D20" s="558">
        <f>SUM(D12:D19)</f>
        <v>378270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11277</v>
      </c>
      <c r="D21" s="456">
        <v>10856</v>
      </c>
      <c r="E21" s="84" t="s">
        <v>58</v>
      </c>
      <c r="F21" s="87" t="s">
        <v>59</v>
      </c>
      <c r="G21" s="188">
        <v>34422</v>
      </c>
      <c r="H21" s="187">
        <v>35822</v>
      </c>
    </row>
    <row r="22" spans="1:13">
      <c r="A22" s="94" t="s">
        <v>60</v>
      </c>
      <c r="B22" s="91" t="s">
        <v>61</v>
      </c>
      <c r="C22" s="455">
        <v>347</v>
      </c>
      <c r="D22" s="456">
        <v>355</v>
      </c>
      <c r="E22" s="192" t="s">
        <v>62</v>
      </c>
      <c r="F22" s="87" t="s">
        <v>63</v>
      </c>
      <c r="G22" s="573">
        <f>SUM(G23:G25)</f>
        <v>59297</v>
      </c>
      <c r="H22" s="574">
        <f>SUM(H23:H25)</f>
        <v>59297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59297</v>
      </c>
      <c r="H23" s="187">
        <v>59297</v>
      </c>
    </row>
    <row r="24" spans="1:13">
      <c r="A24" s="84" t="s">
        <v>67</v>
      </c>
      <c r="B24" s="86" t="s">
        <v>68</v>
      </c>
      <c r="C24" s="188">
        <v>26088</v>
      </c>
      <c r="D24" s="187">
        <v>27258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10254</v>
      </c>
      <c r="D25" s="187">
        <v>10555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93719</v>
      </c>
      <c r="H26" s="558">
        <f>H20+H21+H22</f>
        <v>95119</v>
      </c>
      <c r="M26" s="92"/>
    </row>
    <row r="27" spans="1:13">
      <c r="A27" s="84" t="s">
        <v>79</v>
      </c>
      <c r="B27" s="86" t="s">
        <v>80</v>
      </c>
      <c r="C27" s="188">
        <v>5126</v>
      </c>
      <c r="D27" s="187">
        <v>5016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41468</v>
      </c>
      <c r="D28" s="558">
        <f>SUM(D24:D27)</f>
        <v>42829</v>
      </c>
      <c r="E28" s="193" t="s">
        <v>84</v>
      </c>
      <c r="F28" s="87" t="s">
        <v>85</v>
      </c>
      <c r="G28" s="555">
        <f>SUM(G29:G31)</f>
        <v>360842</v>
      </c>
      <c r="H28" s="556">
        <f>SUM(H29:H31)</f>
        <v>273662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v>360842</v>
      </c>
      <c r="H29" s="187">
        <v>273662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15681</v>
      </c>
      <c r="D31" s="187">
        <v>15909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10797</v>
      </c>
      <c r="H32" s="187">
        <v>86994</v>
      </c>
      <c r="M32" s="92"/>
    </row>
    <row r="33" spans="1:13">
      <c r="A33" s="461" t="s">
        <v>99</v>
      </c>
      <c r="B33" s="91" t="s">
        <v>100</v>
      </c>
      <c r="C33" s="557">
        <f>C31+C32</f>
        <v>15681</v>
      </c>
      <c r="D33" s="558">
        <f>D31+D32</f>
        <v>15909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371639</v>
      </c>
      <c r="H34" s="558">
        <f>H28+H32+H33</f>
        <v>360656</v>
      </c>
    </row>
    <row r="35" spans="1:13">
      <c r="A35" s="84" t="s">
        <v>106</v>
      </c>
      <c r="B35" s="88" t="s">
        <v>107</v>
      </c>
      <c r="C35" s="555">
        <f>SUM(C36:C39)</f>
        <v>76510</v>
      </c>
      <c r="D35" s="556">
        <f>SUM(D36:D39)</f>
        <v>73064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/>
      <c r="D37" s="187"/>
      <c r="E37" s="462" t="s">
        <v>822</v>
      </c>
      <c r="F37" s="93" t="s">
        <v>112</v>
      </c>
      <c r="G37" s="559">
        <f>G26+G18+G34</f>
        <v>566014</v>
      </c>
      <c r="H37" s="560">
        <f>H26+H18+H34</f>
        <v>556431</v>
      </c>
    </row>
    <row r="38" spans="1:13">
      <c r="A38" s="84" t="s">
        <v>113</v>
      </c>
      <c r="B38" s="86" t="s">
        <v>114</v>
      </c>
      <c r="C38" s="188">
        <v>63532</v>
      </c>
      <c r="D38" s="187">
        <v>62985</v>
      </c>
      <c r="E38" s="84"/>
      <c r="F38" s="93"/>
      <c r="G38" s="575"/>
      <c r="H38" s="576"/>
      <c r="M38" s="92"/>
    </row>
    <row r="39" spans="1:13" ht="16.5" thickBot="1">
      <c r="A39" s="84" t="s">
        <v>115</v>
      </c>
      <c r="B39" s="86" t="s">
        <v>116</v>
      </c>
      <c r="C39" s="188">
        <v>12978</v>
      </c>
      <c r="D39" s="187">
        <v>10079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19219</v>
      </c>
      <c r="H40" s="543">
        <v>19341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2504</v>
      </c>
      <c r="H44" s="187">
        <v>2972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59339</v>
      </c>
      <c r="H45" s="187">
        <v>56832</v>
      </c>
    </row>
    <row r="46" spans="1:13">
      <c r="A46" s="452" t="s">
        <v>137</v>
      </c>
      <c r="B46" s="90" t="s">
        <v>138</v>
      </c>
      <c r="C46" s="557">
        <f>C35+C40+C45</f>
        <v>76510</v>
      </c>
      <c r="D46" s="558">
        <f>D35+D40+D45</f>
        <v>73064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92686</v>
      </c>
      <c r="D48" s="187">
        <v>91794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6919</v>
      </c>
      <c r="D49" s="187">
        <v>6539</v>
      </c>
      <c r="E49" s="84" t="s">
        <v>150</v>
      </c>
      <c r="F49" s="87" t="s">
        <v>151</v>
      </c>
      <c r="G49" s="188">
        <v>29100</v>
      </c>
      <c r="H49" s="187">
        <v>29882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90943</v>
      </c>
      <c r="H50" s="556">
        <f>SUM(H44:H49)</f>
        <v>89686</v>
      </c>
    </row>
    <row r="51" spans="1:13">
      <c r="A51" s="84" t="s">
        <v>79</v>
      </c>
      <c r="B51" s="86" t="s">
        <v>155</v>
      </c>
      <c r="C51" s="188">
        <v>4305</v>
      </c>
      <c r="D51" s="187">
        <v>4135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103910</v>
      </c>
      <c r="D52" s="558">
        <f>SUM(D48:D51)</f>
        <v>102468</v>
      </c>
      <c r="E52" s="192" t="s">
        <v>158</v>
      </c>
      <c r="F52" s="89" t="s">
        <v>159</v>
      </c>
      <c r="G52" s="188">
        <v>6396</v>
      </c>
      <c r="H52" s="187">
        <v>6626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8093</v>
      </c>
      <c r="H54" s="187">
        <v>8196</v>
      </c>
    </row>
    <row r="55" spans="1:13">
      <c r="A55" s="94" t="s">
        <v>166</v>
      </c>
      <c r="B55" s="90" t="s">
        <v>167</v>
      </c>
      <c r="C55" s="457">
        <v>1949</v>
      </c>
      <c r="D55" s="458">
        <v>2421</v>
      </c>
      <c r="E55" s="84" t="s">
        <v>168</v>
      </c>
      <c r="F55" s="89" t="s">
        <v>169</v>
      </c>
      <c r="G55" s="188">
        <v>10409</v>
      </c>
      <c r="H55" s="187">
        <v>10940</v>
      </c>
    </row>
    <row r="56" spans="1:13" ht="16.5" thickBot="1">
      <c r="A56" s="454" t="s">
        <v>170</v>
      </c>
      <c r="B56" s="199" t="s">
        <v>171</v>
      </c>
      <c r="C56" s="561">
        <f>C20+C21+C22+C28+C33+C46+C52+C54+C55</f>
        <v>627979</v>
      </c>
      <c r="D56" s="562">
        <f>D20+D21+D22+D28+D33+D46+D52+D54+D55</f>
        <v>626172</v>
      </c>
      <c r="E56" s="94" t="s">
        <v>825</v>
      </c>
      <c r="F56" s="93" t="s">
        <v>172</v>
      </c>
      <c r="G56" s="559">
        <f>G50+G52+G53+G54+G55</f>
        <v>115841</v>
      </c>
      <c r="H56" s="560">
        <f>H50+H52+H53+H54+H55</f>
        <v>115448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1.5">
      <c r="A59" s="84" t="s">
        <v>176</v>
      </c>
      <c r="B59" s="86" t="s">
        <v>177</v>
      </c>
      <c r="C59" s="188">
        <v>37583</v>
      </c>
      <c r="D59" s="187">
        <v>34580</v>
      </c>
      <c r="E59" s="192" t="s">
        <v>180</v>
      </c>
      <c r="F59" s="465" t="s">
        <v>181</v>
      </c>
      <c r="G59" s="188">
        <v>281198</v>
      </c>
      <c r="H59" s="187">
        <v>274829</v>
      </c>
    </row>
    <row r="60" spans="1:13">
      <c r="A60" s="84" t="s">
        <v>178</v>
      </c>
      <c r="B60" s="86" t="s">
        <v>179</v>
      </c>
      <c r="C60" s="188">
        <v>34431</v>
      </c>
      <c r="D60" s="187">
        <v>25751</v>
      </c>
      <c r="E60" s="84" t="s">
        <v>184</v>
      </c>
      <c r="F60" s="87" t="s">
        <v>185</v>
      </c>
      <c r="G60" s="188">
        <v>17832</v>
      </c>
      <c r="H60" s="187">
        <v>16730</v>
      </c>
      <c r="M60" s="92"/>
    </row>
    <row r="61" spans="1:13">
      <c r="A61" s="84" t="s">
        <v>182</v>
      </c>
      <c r="B61" s="86" t="s">
        <v>183</v>
      </c>
      <c r="C61" s="188">
        <v>152669</v>
      </c>
      <c r="D61" s="187">
        <v>159730</v>
      </c>
      <c r="E61" s="191" t="s">
        <v>188</v>
      </c>
      <c r="F61" s="87" t="s">
        <v>189</v>
      </c>
      <c r="G61" s="555">
        <f>SUM(G62:G68)</f>
        <v>180163</v>
      </c>
      <c r="H61" s="556">
        <f>SUM(H62:H68)</f>
        <v>146710</v>
      </c>
    </row>
    <row r="62" spans="1:13">
      <c r="A62" s="84" t="s">
        <v>186</v>
      </c>
      <c r="B62" s="88" t="s">
        <v>187</v>
      </c>
      <c r="C62" s="188">
        <v>6565</v>
      </c>
      <c r="D62" s="187">
        <v>9812</v>
      </c>
      <c r="E62" s="191" t="s">
        <v>192</v>
      </c>
      <c r="F62" s="87" t="s">
        <v>193</v>
      </c>
      <c r="G62" s="188">
        <v>8822</v>
      </c>
      <c r="H62" s="187">
        <v>7668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143415</v>
      </c>
      <c r="H64" s="187">
        <v>115627</v>
      </c>
      <c r="M64" s="92"/>
    </row>
    <row r="65" spans="1:13">
      <c r="A65" s="461" t="s">
        <v>52</v>
      </c>
      <c r="B65" s="90" t="s">
        <v>198</v>
      </c>
      <c r="C65" s="557">
        <f>SUM(C59:C64)</f>
        <v>231248</v>
      </c>
      <c r="D65" s="558">
        <f>SUM(D59:D64)</f>
        <v>229873</v>
      </c>
      <c r="E65" s="84" t="s">
        <v>201</v>
      </c>
      <c r="F65" s="87" t="s">
        <v>202</v>
      </c>
      <c r="G65" s="188">
        <v>1116</v>
      </c>
      <c r="H65" s="187">
        <v>780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13205</v>
      </c>
      <c r="H66" s="187">
        <v>12443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2912</v>
      </c>
      <c r="H67" s="187">
        <v>2975</v>
      </c>
    </row>
    <row r="68" spans="1:13">
      <c r="A68" s="84" t="s">
        <v>206</v>
      </c>
      <c r="B68" s="86" t="s">
        <v>207</v>
      </c>
      <c r="C68" s="188">
        <v>7859</v>
      </c>
      <c r="D68" s="187">
        <v>7112</v>
      </c>
      <c r="E68" s="84" t="s">
        <v>212</v>
      </c>
      <c r="F68" s="87" t="s">
        <v>213</v>
      </c>
      <c r="G68" s="188">
        <v>10693</v>
      </c>
      <c r="H68" s="187">
        <v>7217</v>
      </c>
    </row>
    <row r="69" spans="1:13">
      <c r="A69" s="84" t="s">
        <v>210</v>
      </c>
      <c r="B69" s="86" t="s">
        <v>211</v>
      </c>
      <c r="C69" s="188">
        <v>268151</v>
      </c>
      <c r="D69" s="187">
        <v>245743</v>
      </c>
      <c r="E69" s="192" t="s">
        <v>79</v>
      </c>
      <c r="F69" s="87" t="s">
        <v>216</v>
      </c>
      <c r="G69" s="188">
        <v>34008</v>
      </c>
      <c r="H69" s="187">
        <v>45783</v>
      </c>
    </row>
    <row r="70" spans="1:13">
      <c r="A70" s="84" t="s">
        <v>214</v>
      </c>
      <c r="B70" s="86" t="s">
        <v>215</v>
      </c>
      <c r="C70" s="188">
        <v>16711</v>
      </c>
      <c r="D70" s="187">
        <v>9917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5907</v>
      </c>
      <c r="D71" s="187">
        <v>6144</v>
      </c>
      <c r="E71" s="453" t="s">
        <v>47</v>
      </c>
      <c r="F71" s="89" t="s">
        <v>223</v>
      </c>
      <c r="G71" s="557">
        <f>G59+G60+G61+G69+G70</f>
        <v>513201</v>
      </c>
      <c r="H71" s="558">
        <f>H59+H60+H61+H69+H70</f>
        <v>484052</v>
      </c>
    </row>
    <row r="72" spans="1:13">
      <c r="A72" s="84" t="s">
        <v>221</v>
      </c>
      <c r="B72" s="86" t="s">
        <v>222</v>
      </c>
      <c r="C72" s="188">
        <v>2101</v>
      </c>
      <c r="D72" s="187">
        <v>2176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13880</v>
      </c>
      <c r="D73" s="187">
        <v>12590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v>11880</v>
      </c>
      <c r="D75" s="187">
        <v>5603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326489</v>
      </c>
      <c r="D76" s="558">
        <f>SUM(D68:D75)</f>
        <v>289285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513201</v>
      </c>
      <c r="H79" s="560">
        <f>H71+H73+H75+H77</f>
        <v>484052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1476</v>
      </c>
      <c r="D88" s="187">
        <v>1831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v>24995</v>
      </c>
      <c r="D89" s="187">
        <v>25531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v>153</v>
      </c>
      <c r="D90" s="187">
        <v>151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26624</v>
      </c>
      <c r="D92" s="558">
        <f>SUM(D88:D91)</f>
        <v>27513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1935</v>
      </c>
      <c r="D93" s="458">
        <v>2429</v>
      </c>
      <c r="E93" s="195"/>
      <c r="F93" s="97"/>
      <c r="G93" s="582"/>
      <c r="H93" s="583"/>
    </row>
    <row r="94" spans="1:13" ht="16.5" thickBot="1">
      <c r="A94" s="469" t="s">
        <v>263</v>
      </c>
      <c r="B94" s="217" t="s">
        <v>264</v>
      </c>
      <c r="C94" s="561">
        <f>C65+C76+C85+C92+C93</f>
        <v>586296</v>
      </c>
      <c r="D94" s="562">
        <f>D65+D76+D85+D92+D93</f>
        <v>549100</v>
      </c>
      <c r="E94" s="218"/>
      <c r="F94" s="219"/>
      <c r="G94" s="584"/>
      <c r="H94" s="585"/>
      <c r="M94" s="92"/>
    </row>
    <row r="95" spans="1:13" ht="32.25" thickBot="1">
      <c r="A95" s="466" t="s">
        <v>265</v>
      </c>
      <c r="B95" s="467" t="s">
        <v>266</v>
      </c>
      <c r="C95" s="563">
        <f>C94+C56</f>
        <v>1214275</v>
      </c>
      <c r="D95" s="564">
        <f>D94+D56</f>
        <v>1175272</v>
      </c>
      <c r="E95" s="220" t="s">
        <v>916</v>
      </c>
      <c r="F95" s="468" t="s">
        <v>268</v>
      </c>
      <c r="G95" s="563">
        <f>G37+G40+G56+G79</f>
        <v>1214275</v>
      </c>
      <c r="H95" s="564">
        <f>H37+H40+H56+H79</f>
        <v>1175272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0">
        <f>pdeReportingDate</f>
        <v>43980</v>
      </c>
      <c r="C98" s="700"/>
      <c r="D98" s="700"/>
      <c r="E98" s="700"/>
      <c r="F98" s="700"/>
      <c r="G98" s="700"/>
      <c r="H98" s="700"/>
      <c r="M98" s="92"/>
    </row>
    <row r="99" spans="1:13">
      <c r="A99" s="651"/>
      <c r="B99" s="673"/>
      <c r="C99" s="673"/>
      <c r="D99" s="673"/>
      <c r="E99" s="673"/>
      <c r="F99" s="673"/>
      <c r="G99" s="673"/>
      <c r="H99" s="673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1" t="str">
        <f>authorName</f>
        <v>Людмила Бонджова</v>
      </c>
      <c r="C101" s="701"/>
      <c r="D101" s="701"/>
      <c r="E101" s="701"/>
      <c r="F101" s="701"/>
      <c r="G101" s="701"/>
      <c r="H101" s="701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2"/>
      <c r="C104" s="702"/>
      <c r="D104" s="702"/>
      <c r="E104" s="702"/>
      <c r="F104" s="702"/>
      <c r="G104" s="702"/>
      <c r="H104" s="702"/>
    </row>
    <row r="105" spans="1:13" ht="21.75" customHeight="1">
      <c r="A105" s="653"/>
      <c r="B105" s="703" t="str">
        <f>+Начална!B17</f>
        <v>д.и.н. Огнян Донев</v>
      </c>
      <c r="C105" s="699"/>
      <c r="D105" s="699"/>
      <c r="E105" s="699"/>
      <c r="M105" s="92"/>
    </row>
    <row r="106" spans="1:13" ht="21.75" customHeight="1">
      <c r="A106" s="653"/>
      <c r="B106" s="699"/>
      <c r="C106" s="699"/>
      <c r="D106" s="699"/>
      <c r="E106" s="699"/>
    </row>
    <row r="107" spans="1:13" ht="21.75" customHeight="1">
      <c r="A107" s="653"/>
      <c r="B107" s="699"/>
      <c r="C107" s="699"/>
      <c r="D107" s="699"/>
      <c r="E107" s="699"/>
      <c r="M107" s="92"/>
    </row>
    <row r="108" spans="1:13" ht="21.75" customHeight="1">
      <c r="A108" s="653"/>
      <c r="B108" s="699"/>
      <c r="C108" s="699"/>
      <c r="D108" s="699"/>
      <c r="E108" s="699"/>
    </row>
    <row r="109" spans="1:13" ht="21.75" customHeight="1">
      <c r="A109" s="653"/>
      <c r="B109" s="699"/>
      <c r="C109" s="699"/>
      <c r="D109" s="699"/>
      <c r="E109" s="699"/>
      <c r="M109" s="92"/>
    </row>
    <row r="110" spans="1:13" ht="21.75" customHeight="1">
      <c r="A110" s="653"/>
      <c r="B110" s="699"/>
      <c r="C110" s="699"/>
      <c r="D110" s="699"/>
      <c r="E110" s="699"/>
    </row>
    <row r="111" spans="1:13" ht="21.75" customHeight="1">
      <c r="A111" s="653"/>
      <c r="B111" s="699"/>
      <c r="C111" s="699"/>
      <c r="D111" s="699"/>
      <c r="E111" s="699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F2D4D9F9-DE61-45A3-92A2-4E78F2B34B7F}" scale="80" fitToPage="1" topLeftCell="D31">
      <selection activeCell="G69" sqref="G69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17A0B690-90B4-478F-B629-540D801E18FD}" scale="80" fitToPage="1" topLeftCell="A67">
      <selection activeCell="C12" sqref="C12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07871067-5294-4FEE-88CE-4A4A5BC97EF0}" scale="80" fitToPage="1" topLeftCell="A68">
      <selection activeCell="D90" sqref="D9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78A1B5DC-DDD3-47B7-ABD4-EC354C41CDDF}" scale="80" fitToPage="1">
      <selection activeCell="G61" sqref="G61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view="pageBreakPreview" zoomScale="80" zoomScaleNormal="70" zoomScaleSheetLayoutView="80" workbookViewId="0">
      <selection activeCell="D51" sqref="D51"/>
    </sheetView>
  </sheetViews>
  <sheetFormatPr defaultColWidth="9.28515625" defaultRowHeight="15.75"/>
  <cols>
    <col min="1" max="1" width="50.7109375" style="530" customWidth="1"/>
    <col min="2" max="2" width="10.7109375" style="530" customWidth="1"/>
    <col min="3" max="4" width="15.7109375" style="182" customWidth="1"/>
    <col min="5" max="5" width="50.7109375" style="530" customWidth="1"/>
    <col min="6" max="6" width="10.7109375" style="530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31.03.2020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22790</v>
      </c>
      <c r="D12" s="667">
        <v>22951</v>
      </c>
      <c r="E12" s="185" t="s">
        <v>277</v>
      </c>
      <c r="F12" s="231" t="s">
        <v>278</v>
      </c>
      <c r="G12" s="307">
        <v>71204</v>
      </c>
      <c r="H12" s="308">
        <v>64942</v>
      </c>
    </row>
    <row r="13" spans="1:8">
      <c r="A13" s="185" t="s">
        <v>279</v>
      </c>
      <c r="B13" s="181" t="s">
        <v>280</v>
      </c>
      <c r="C13" s="307">
        <v>19648</v>
      </c>
      <c r="D13" s="667">
        <v>17782</v>
      </c>
      <c r="E13" s="185" t="s">
        <v>281</v>
      </c>
      <c r="F13" s="231" t="s">
        <v>282</v>
      </c>
      <c r="G13" s="307">
        <v>294841</v>
      </c>
      <c r="H13" s="308">
        <v>248434</v>
      </c>
    </row>
    <row r="14" spans="1:8">
      <c r="A14" s="185" t="s">
        <v>283</v>
      </c>
      <c r="B14" s="181" t="s">
        <v>284</v>
      </c>
      <c r="C14" s="307">
        <v>10800</v>
      </c>
      <c r="D14" s="667">
        <v>10595</v>
      </c>
      <c r="E14" s="236" t="s">
        <v>285</v>
      </c>
      <c r="F14" s="231" t="s">
        <v>286</v>
      </c>
      <c r="G14" s="307">
        <v>1588</v>
      </c>
      <c r="H14" s="308">
        <v>2543</v>
      </c>
    </row>
    <row r="15" spans="1:8">
      <c r="A15" s="185" t="s">
        <v>287</v>
      </c>
      <c r="B15" s="181" t="s">
        <v>288</v>
      </c>
      <c r="C15" s="307">
        <v>27749</v>
      </c>
      <c r="D15" s="667">
        <v>25813</v>
      </c>
      <c r="E15" s="236" t="s">
        <v>79</v>
      </c>
      <c r="F15" s="231" t="s">
        <v>289</v>
      </c>
      <c r="G15" s="307">
        <v>506</v>
      </c>
      <c r="H15" s="308">
        <v>214</v>
      </c>
    </row>
    <row r="16" spans="1:8">
      <c r="A16" s="185" t="s">
        <v>290</v>
      </c>
      <c r="B16" s="181" t="s">
        <v>291</v>
      </c>
      <c r="C16" s="307">
        <v>5022</v>
      </c>
      <c r="D16" s="667">
        <v>4925</v>
      </c>
      <c r="E16" s="227" t="s">
        <v>52</v>
      </c>
      <c r="F16" s="255" t="s">
        <v>292</v>
      </c>
      <c r="G16" s="588">
        <f>SUM(G12:G15)</f>
        <v>368139</v>
      </c>
      <c r="H16" s="589">
        <f>SUM(H12:H15)</f>
        <v>316133</v>
      </c>
    </row>
    <row r="17" spans="1:8" ht="31.5">
      <c r="A17" s="185" t="s">
        <v>293</v>
      </c>
      <c r="B17" s="181" t="s">
        <v>294</v>
      </c>
      <c r="C17" s="307">
        <v>264335</v>
      </c>
      <c r="D17" s="667">
        <v>218400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-985</v>
      </c>
      <c r="D18" s="667">
        <v>-3605</v>
      </c>
      <c r="E18" s="225" t="s">
        <v>297</v>
      </c>
      <c r="F18" s="229" t="s">
        <v>298</v>
      </c>
      <c r="G18" s="599">
        <v>239</v>
      </c>
      <c r="H18" s="668">
        <v>198</v>
      </c>
    </row>
    <row r="19" spans="1:8">
      <c r="A19" s="185" t="s">
        <v>299</v>
      </c>
      <c r="B19" s="181" t="s">
        <v>300</v>
      </c>
      <c r="C19" s="307">
        <v>1644</v>
      </c>
      <c r="D19" s="667">
        <v>1951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-148</v>
      </c>
      <c r="D20" s="667">
        <v>150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351003</v>
      </c>
      <c r="D22" s="589">
        <f>SUM(D12:D18)+D19</f>
        <v>298812</v>
      </c>
      <c r="E22" s="185" t="s">
        <v>309</v>
      </c>
      <c r="F22" s="228" t="s">
        <v>310</v>
      </c>
      <c r="G22" s="307">
        <v>1166</v>
      </c>
      <c r="H22" s="308">
        <v>1472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/>
      <c r="H23" s="308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92</v>
      </c>
      <c r="H24" s="308">
        <v>119</v>
      </c>
    </row>
    <row r="25" spans="1:8" ht="31.5">
      <c r="A25" s="185" t="s">
        <v>316</v>
      </c>
      <c r="B25" s="228" t="s">
        <v>317</v>
      </c>
      <c r="C25" s="307">
        <v>2781</v>
      </c>
      <c r="D25" s="664">
        <v>2668</v>
      </c>
      <c r="E25" s="185" t="s">
        <v>318</v>
      </c>
      <c r="F25" s="228" t="s">
        <v>319</v>
      </c>
      <c r="G25" s="307">
        <v>80</v>
      </c>
      <c r="H25" s="308">
        <v>225</v>
      </c>
    </row>
    <row r="26" spans="1:8" ht="31.5">
      <c r="A26" s="185" t="s">
        <v>320</v>
      </c>
      <c r="B26" s="228" t="s">
        <v>321</v>
      </c>
      <c r="C26" s="307"/>
      <c r="D26" s="664"/>
      <c r="E26" s="185" t="s">
        <v>322</v>
      </c>
      <c r="F26" s="228" t="s">
        <v>323</v>
      </c>
      <c r="G26" s="307"/>
      <c r="H26" s="308">
        <v>243</v>
      </c>
    </row>
    <row r="27" spans="1:8" ht="31.5">
      <c r="A27" s="185" t="s">
        <v>324</v>
      </c>
      <c r="B27" s="228" t="s">
        <v>325</v>
      </c>
      <c r="C27" s="307">
        <v>5389</v>
      </c>
      <c r="D27" s="664"/>
      <c r="E27" s="227" t="s">
        <v>104</v>
      </c>
      <c r="F27" s="229" t="s">
        <v>326</v>
      </c>
      <c r="G27" s="588">
        <f>SUM(G22:G26)</f>
        <v>1338</v>
      </c>
      <c r="H27" s="589">
        <f>SUM(H22:H26)</f>
        <v>2059</v>
      </c>
    </row>
    <row r="28" spans="1:8">
      <c r="A28" s="185" t="s">
        <v>79</v>
      </c>
      <c r="B28" s="228" t="s">
        <v>327</v>
      </c>
      <c r="C28" s="307">
        <v>187</v>
      </c>
      <c r="D28" s="664">
        <v>217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8357</v>
      </c>
      <c r="D29" s="589">
        <f>SUM(D25:D28)</f>
        <v>2885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4">
        <f>C29+C22</f>
        <v>359360</v>
      </c>
      <c r="D31" s="595">
        <f>D29+D22</f>
        <v>301697</v>
      </c>
      <c r="E31" s="242" t="s">
        <v>800</v>
      </c>
      <c r="F31" s="257" t="s">
        <v>331</v>
      </c>
      <c r="G31" s="244">
        <f>G16+G18+G27</f>
        <v>369716</v>
      </c>
      <c r="H31" s="245">
        <f>H16+H18+H27</f>
        <v>318390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10356</v>
      </c>
      <c r="D33" s="235">
        <f>IF((H31-D31)&gt;0,H31-D31,0)</f>
        <v>16693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547</v>
      </c>
      <c r="D34" s="665">
        <v>2473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596">
        <f>C31-C34+C35</f>
        <v>358813</v>
      </c>
      <c r="D36" s="597">
        <f>D31-D34+D35</f>
        <v>299224</v>
      </c>
      <c r="E36" s="253" t="s">
        <v>346</v>
      </c>
      <c r="F36" s="247" t="s">
        <v>347</v>
      </c>
      <c r="G36" s="258">
        <f>G35-G34+G31</f>
        <v>369716</v>
      </c>
      <c r="H36" s="259">
        <f>H35-H34+H31</f>
        <v>318390</v>
      </c>
    </row>
    <row r="37" spans="1:8">
      <c r="A37" s="252" t="s">
        <v>348</v>
      </c>
      <c r="B37" s="222" t="s">
        <v>349</v>
      </c>
      <c r="C37" s="594">
        <f>IF((G36-C36)&gt;0,G36-C36,0)</f>
        <v>10903</v>
      </c>
      <c r="D37" s="595">
        <f>IF((H36-D36)&gt;0,H36-D36,0)</f>
        <v>19166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2485</v>
      </c>
      <c r="D38" s="589">
        <f>D39+D40+D41</f>
        <v>1940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2485</v>
      </c>
      <c r="D39" s="666">
        <v>1940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8418</v>
      </c>
      <c r="D42" s="235">
        <f>+IF((H36-D36-D38)&gt;0,H36-D36-D38,0)</f>
        <v>17226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/>
      <c r="D43" s="667">
        <v>1794</v>
      </c>
      <c r="E43" s="224" t="s">
        <v>364</v>
      </c>
      <c r="F43" s="186" t="s">
        <v>366</v>
      </c>
      <c r="G43" s="545">
        <v>2379</v>
      </c>
      <c r="H43" s="598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10797</v>
      </c>
      <c r="D44" s="259">
        <f>IF(H42=0,IF(D42-D43&gt;0,D42-D43+H43,0),IF(H42-H43&lt;0,H43-H42+D42,0))</f>
        <v>15432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0">
        <f>C36+C38+C42</f>
        <v>369716</v>
      </c>
      <c r="D45" s="591">
        <f>D36+D38+D42</f>
        <v>318390</v>
      </c>
      <c r="E45" s="261" t="s">
        <v>373</v>
      </c>
      <c r="F45" s="263" t="s">
        <v>374</v>
      </c>
      <c r="G45" s="590">
        <f>G42+G36</f>
        <v>369716</v>
      </c>
      <c r="H45" s="591">
        <f>H42+H36</f>
        <v>318390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4" t="s">
        <v>951</v>
      </c>
      <c r="B47" s="704"/>
      <c r="C47" s="704"/>
      <c r="D47" s="704"/>
      <c r="E47" s="704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0">
        <f>pdeReportingDate</f>
        <v>43980</v>
      </c>
      <c r="C50" s="700"/>
      <c r="D50" s="700"/>
      <c r="E50" s="700"/>
      <c r="F50" s="700"/>
      <c r="G50" s="700"/>
      <c r="H50" s="700"/>
      <c r="M50" s="92"/>
    </row>
    <row r="51" spans="1:13" s="41" customFormat="1">
      <c r="A51" s="651"/>
      <c r="B51" s="673"/>
      <c r="C51" s="673"/>
      <c r="D51" s="673"/>
      <c r="E51" s="673"/>
      <c r="F51" s="673"/>
      <c r="G51" s="673"/>
      <c r="H51" s="673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1" t="str">
        <f>authorName</f>
        <v>Людмила Бонджова</v>
      </c>
      <c r="C53" s="701"/>
      <c r="D53" s="701"/>
      <c r="E53" s="701"/>
      <c r="F53" s="701"/>
      <c r="G53" s="701"/>
      <c r="H53" s="701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2"/>
      <c r="C56" s="702"/>
      <c r="D56" s="702"/>
      <c r="E56" s="702"/>
      <c r="F56" s="702"/>
      <c r="G56" s="702"/>
      <c r="H56" s="702"/>
    </row>
    <row r="57" spans="1:13" ht="15.75" customHeight="1">
      <c r="A57" s="653"/>
      <c r="B57" s="703" t="str">
        <f>+Начална!B17</f>
        <v>д.и.н. Огнян Донев</v>
      </c>
      <c r="C57" s="699"/>
      <c r="D57" s="699"/>
      <c r="E57" s="699"/>
      <c r="F57" s="535"/>
      <c r="G57" s="44"/>
      <c r="H57" s="41"/>
    </row>
    <row r="58" spans="1:13" ht="15.75" customHeight="1">
      <c r="A58" s="653"/>
      <c r="B58" s="699"/>
      <c r="C58" s="699"/>
      <c r="D58" s="699"/>
      <c r="E58" s="699"/>
      <c r="F58" s="535"/>
      <c r="G58" s="44"/>
      <c r="H58" s="41"/>
    </row>
    <row r="59" spans="1:13" ht="15.75" customHeight="1">
      <c r="A59" s="653"/>
      <c r="B59" s="699"/>
      <c r="C59" s="699"/>
      <c r="D59" s="699"/>
      <c r="E59" s="699"/>
      <c r="F59" s="535"/>
      <c r="G59" s="44"/>
      <c r="H59" s="41"/>
    </row>
    <row r="60" spans="1:13" ht="15.75" customHeight="1">
      <c r="A60" s="653"/>
      <c r="B60" s="699"/>
      <c r="C60" s="699"/>
      <c r="D60" s="699"/>
      <c r="E60" s="699"/>
      <c r="F60" s="535"/>
      <c r="G60" s="44"/>
      <c r="H60" s="41"/>
    </row>
    <row r="61" spans="1:13">
      <c r="A61" s="653"/>
      <c r="B61" s="699"/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F2D4D9F9-DE61-45A3-92A2-4E78F2B34B7F}" scale="80" showPageBreaks="1" fitToPage="1" printArea="1" view="pageBreakPreview" topLeftCell="A34">
      <selection activeCell="G22" sqref="G22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1"/>
      <headerFooter alignWithMargins="0"/>
    </customSheetView>
    <customSheetView guid="{17A0B690-90B4-478F-B629-540D801E18FD}" scale="80" showPageBreaks="1" fitToPage="1" printArea="1" view="pageBreakPreview" topLeftCell="A27">
      <selection activeCell="C42" sqref="C42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2"/>
      <headerFooter alignWithMargins="0"/>
    </customSheetView>
    <customSheetView guid="{07871067-5294-4FEE-88CE-4A4A5BC97EF0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  <customSheetView guid="{78A1B5DC-DDD3-47B7-ABD4-EC354C41CDDF}" scale="80" showPageBreaks="1" fitToPage="1" printArea="1" view="pageBreakPreview">
      <selection activeCell="D51" sqref="D5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4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zoomScale="70" zoomScaleNormal="70" zoomScaleSheetLayoutView="80" workbookViewId="0">
      <selection activeCell="C42" sqref="C42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31.03.2020 г.</v>
      </c>
      <c r="B6" s="472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322205</v>
      </c>
      <c r="D11" s="187">
        <v>321394</v>
      </c>
      <c r="E11" s="168"/>
      <c r="F11" s="168"/>
    </row>
    <row r="12" spans="1:13">
      <c r="A12" s="268" t="s">
        <v>380</v>
      </c>
      <c r="B12" s="169" t="s">
        <v>381</v>
      </c>
      <c r="C12" s="662">
        <v>-310947</v>
      </c>
      <c r="D12" s="187">
        <v>-301467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-31132</v>
      </c>
      <c r="D14" s="187">
        <v>-28487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-13902</v>
      </c>
      <c r="D15" s="187">
        <v>-15881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v>-679</v>
      </c>
      <c r="D16" s="187">
        <v>-1246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2">
        <v>-2038</v>
      </c>
      <c r="D18" s="187">
        <v>-2260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-1830</v>
      </c>
      <c r="D19" s="187">
        <v>-76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-6261</v>
      </c>
      <c r="D20" s="187">
        <v>-481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17">
        <f>SUM(C11:C20)</f>
        <v>-44584</v>
      </c>
      <c r="D21" s="618">
        <f>SUM(D11:D20)</f>
        <v>-28504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v>-9914</v>
      </c>
      <c r="D23" s="187">
        <v>-6516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154</v>
      </c>
      <c r="D24" s="187">
        <v>130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v>-1690</v>
      </c>
      <c r="D25" s="187">
        <v>-70662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454</v>
      </c>
      <c r="D26" s="187">
        <v>13603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88</v>
      </c>
      <c r="D27" s="187">
        <v>193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v>-4367</v>
      </c>
      <c r="D28" s="187">
        <v>-2843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v>27</v>
      </c>
      <c r="D29" s="187">
        <v>87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/>
      <c r="D30" s="187">
        <v>99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17">
        <f>SUM(C23:C32)</f>
        <v>-15248</v>
      </c>
      <c r="D33" s="618">
        <f>SUM(D23:D32)</f>
        <v>-65909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/>
      <c r="D35" s="187"/>
      <c r="E35" s="168"/>
      <c r="F35" s="168"/>
    </row>
    <row r="36" spans="1:13">
      <c r="A36" s="269" t="s">
        <v>425</v>
      </c>
      <c r="B36" s="169" t="s">
        <v>426</v>
      </c>
      <c r="C36" s="662"/>
      <c r="D36" s="187">
        <v>-2</v>
      </c>
      <c r="E36" s="168"/>
      <c r="F36" s="168"/>
    </row>
    <row r="37" spans="1:13">
      <c r="A37" s="268" t="s">
        <v>427</v>
      </c>
      <c r="B37" s="169" t="s">
        <v>428</v>
      </c>
      <c r="C37" s="662">
        <v>22468</v>
      </c>
      <c r="D37" s="187">
        <v>56533</v>
      </c>
      <c r="E37" s="168"/>
      <c r="F37" s="168"/>
    </row>
    <row r="38" spans="1:13">
      <c r="A38" s="268" t="s">
        <v>429</v>
      </c>
      <c r="B38" s="169" t="s">
        <v>430</v>
      </c>
      <c r="C38" s="662">
        <v>-7648</v>
      </c>
      <c r="D38" s="187">
        <v>-12325</v>
      </c>
      <c r="E38" s="168"/>
      <c r="F38" s="168"/>
    </row>
    <row r="39" spans="1:13">
      <c r="A39" s="268" t="s">
        <v>431</v>
      </c>
      <c r="B39" s="169" t="s">
        <v>432</v>
      </c>
      <c r="C39" s="662">
        <v>-3675</v>
      </c>
      <c r="D39" s="187">
        <v>-2963</v>
      </c>
      <c r="E39" s="168"/>
      <c r="F39" s="168"/>
    </row>
    <row r="40" spans="1:13" ht="31.5">
      <c r="A40" s="268" t="s">
        <v>433</v>
      </c>
      <c r="B40" s="169" t="s">
        <v>434</v>
      </c>
      <c r="C40" s="662">
        <v>-304</v>
      </c>
      <c r="D40" s="187">
        <v>-301</v>
      </c>
      <c r="E40" s="168"/>
      <c r="F40" s="168"/>
    </row>
    <row r="41" spans="1:13">
      <c r="A41" s="268" t="s">
        <v>435</v>
      </c>
      <c r="B41" s="169" t="s">
        <v>436</v>
      </c>
      <c r="C41" s="662">
        <v>-512</v>
      </c>
      <c r="D41" s="187">
        <v>-29</v>
      </c>
      <c r="E41" s="168"/>
      <c r="F41" s="168"/>
    </row>
    <row r="42" spans="1:13">
      <c r="A42" s="268" t="s">
        <v>437</v>
      </c>
      <c r="B42" s="169" t="s">
        <v>438</v>
      </c>
      <c r="C42" s="662">
        <v>48612</v>
      </c>
      <c r="D42" s="187">
        <v>49223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19">
        <f>SUM(C35:C42)</f>
        <v>58941</v>
      </c>
      <c r="D43" s="620">
        <f>SUM(D35:D42)</f>
        <v>90136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-891</v>
      </c>
      <c r="D44" s="298">
        <f>D43+D33+D21</f>
        <v>-4277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27362</v>
      </c>
      <c r="D45" s="300">
        <v>24129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26471</v>
      </c>
      <c r="D46" s="302">
        <f>D45+D44</f>
        <v>19852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26471</v>
      </c>
      <c r="D47" s="289">
        <v>19852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153</v>
      </c>
      <c r="D48" s="272">
        <v>438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5" t="s">
        <v>947</v>
      </c>
      <c r="B51" s="705"/>
      <c r="C51" s="705"/>
      <c r="D51" s="705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0">
        <f>pdeReportingDate</f>
        <v>43980</v>
      </c>
      <c r="C54" s="700"/>
      <c r="D54" s="700"/>
      <c r="E54" s="700"/>
      <c r="F54" s="654"/>
      <c r="G54" s="654"/>
      <c r="H54" s="654"/>
      <c r="M54" s="92"/>
    </row>
    <row r="55" spans="1:13" s="41" customFormat="1">
      <c r="A55" s="651"/>
      <c r="B55" s="673"/>
      <c r="C55" s="673"/>
      <c r="D55" s="673"/>
      <c r="E55" s="673"/>
      <c r="F55" s="654"/>
      <c r="G55" s="654"/>
      <c r="H55" s="654"/>
      <c r="M55" s="92"/>
    </row>
    <row r="56" spans="1:13" s="41" customFormat="1">
      <c r="A56" s="651"/>
      <c r="B56" s="700"/>
      <c r="C56" s="700"/>
      <c r="D56" s="700"/>
      <c r="E56" s="700"/>
      <c r="F56" s="51"/>
      <c r="G56" s="51"/>
      <c r="H56" s="51"/>
      <c r="M56" s="92"/>
    </row>
    <row r="57" spans="1:13" s="41" customFormat="1">
      <c r="A57" s="652" t="s">
        <v>8</v>
      </c>
      <c r="B57" s="701" t="str">
        <f>authorName</f>
        <v>Людмила Бонджова</v>
      </c>
      <c r="C57" s="701"/>
      <c r="D57" s="701"/>
      <c r="E57" s="701"/>
      <c r="F57" s="75"/>
      <c r="G57" s="75"/>
      <c r="H57" s="75"/>
    </row>
    <row r="58" spans="1:13" s="41" customFormat="1">
      <c r="A58" s="652"/>
      <c r="B58" s="674"/>
      <c r="C58" s="674"/>
      <c r="D58" s="674"/>
      <c r="E58" s="674"/>
      <c r="F58" s="674"/>
      <c r="G58" s="674"/>
      <c r="H58" s="674"/>
    </row>
    <row r="59" spans="1:13" s="41" customFormat="1">
      <c r="A59" s="652"/>
      <c r="B59" s="701"/>
      <c r="C59" s="701"/>
      <c r="D59" s="701"/>
      <c r="E59" s="701"/>
      <c r="F59" s="75"/>
      <c r="G59" s="75"/>
      <c r="H59" s="75"/>
    </row>
    <row r="60" spans="1:13" s="41" customFormat="1">
      <c r="A60" s="652" t="s">
        <v>894</v>
      </c>
      <c r="B60" s="701"/>
      <c r="C60" s="701"/>
      <c r="D60" s="701"/>
      <c r="E60" s="701"/>
      <c r="F60" s="75"/>
      <c r="G60" s="75"/>
      <c r="H60" s="75"/>
    </row>
    <row r="61" spans="1:13" s="182" customFormat="1">
      <c r="A61" s="653"/>
      <c r="B61" s="703" t="str">
        <f>+Начална!B17</f>
        <v>д.и.н. Огнян Донев</v>
      </c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653"/>
      <c r="B64" s="699"/>
      <c r="C64" s="699"/>
      <c r="D64" s="699"/>
      <c r="E64" s="699"/>
      <c r="F64" s="535"/>
      <c r="G64" s="44"/>
      <c r="H64" s="41"/>
    </row>
    <row r="65" spans="1:8">
      <c r="A65" s="653"/>
      <c r="B65" s="699"/>
      <c r="C65" s="699"/>
      <c r="D65" s="699"/>
      <c r="E65" s="699"/>
      <c r="F65" s="535"/>
      <c r="G65" s="44"/>
      <c r="H65" s="41"/>
    </row>
    <row r="66" spans="1:8">
      <c r="A66" s="653"/>
      <c r="B66" s="699"/>
      <c r="C66" s="699"/>
      <c r="D66" s="699"/>
      <c r="E66" s="699"/>
      <c r="F66" s="535"/>
      <c r="G66" s="44"/>
      <c r="H66" s="41"/>
    </row>
    <row r="67" spans="1:8">
      <c r="A67" s="653"/>
      <c r="B67" s="699"/>
      <c r="C67" s="699"/>
      <c r="D67" s="699"/>
      <c r="E67" s="699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F2D4D9F9-DE61-45A3-92A2-4E78F2B34B7F}" scale="70" fitToPage="1" topLeftCell="A10">
      <selection activeCell="A18" sqref="A17:A1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1"/>
      <headerFooter alignWithMargins="0"/>
    </customSheetView>
    <customSheetView guid="{17A0B690-90B4-478F-B629-540D801E18FD}" scale="70" fitToPage="1" topLeftCell="A17">
      <selection activeCell="C23" sqref="C23:C32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2"/>
      <headerFooter alignWithMargins="0"/>
    </customSheetView>
    <customSheetView guid="{07871067-5294-4FEE-88CE-4A4A5BC97EF0}" scale="70" fitToPage="1" topLeftCell="A22">
      <selection activeCell="I40" sqref="I4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  <customSheetView guid="{78A1B5DC-DDD3-47B7-ABD4-EC354C41CDDF}" scale="70" fitToPage="1">
      <selection activeCell="C42" sqref="C42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4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80" zoomScaleNormal="10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2" sqref="A32"/>
    </sheetView>
  </sheetViews>
  <sheetFormatPr defaultColWidth="9.28515625" defaultRowHeight="15.75"/>
  <cols>
    <col min="1" max="1" width="50.7109375" style="523" customWidth="1"/>
    <col min="2" max="2" width="10.7109375" style="524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31.03.2020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1.5">
      <c r="A8" s="710" t="s">
        <v>453</v>
      </c>
      <c r="B8" s="713" t="s">
        <v>454</v>
      </c>
      <c r="C8" s="706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6" t="s">
        <v>460</v>
      </c>
      <c r="L8" s="706" t="s">
        <v>461</v>
      </c>
      <c r="M8" s="492"/>
      <c r="N8" s="493"/>
    </row>
    <row r="9" spans="1:14" s="494" customFormat="1" ht="31.5">
      <c r="A9" s="711"/>
      <c r="B9" s="714"/>
      <c r="C9" s="707"/>
      <c r="D9" s="709" t="s">
        <v>802</v>
      </c>
      <c r="E9" s="709" t="s">
        <v>456</v>
      </c>
      <c r="F9" s="496" t="s">
        <v>457</v>
      </c>
      <c r="G9" s="496"/>
      <c r="H9" s="496"/>
      <c r="I9" s="716" t="s">
        <v>458</v>
      </c>
      <c r="J9" s="716" t="s">
        <v>459</v>
      </c>
      <c r="K9" s="707"/>
      <c r="L9" s="707"/>
      <c r="M9" s="497" t="s">
        <v>801</v>
      </c>
      <c r="N9" s="493"/>
    </row>
    <row r="10" spans="1:14" s="494" customFormat="1" ht="31.5">
      <c r="A10" s="712"/>
      <c r="B10" s="715"/>
      <c r="C10" s="708"/>
      <c r="D10" s="709"/>
      <c r="E10" s="709"/>
      <c r="F10" s="495" t="s">
        <v>462</v>
      </c>
      <c r="G10" s="495" t="s">
        <v>463</v>
      </c>
      <c r="H10" s="495" t="s">
        <v>464</v>
      </c>
      <c r="I10" s="708"/>
      <c r="J10" s="708"/>
      <c r="K10" s="708"/>
      <c r="L10" s="708"/>
      <c r="M10" s="498"/>
      <c r="N10" s="493"/>
    </row>
    <row r="11" spans="1:14" s="494" customFormat="1" ht="16.5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100656</v>
      </c>
      <c r="D13" s="544">
        <f>'1-Баланс'!H20</f>
        <v>0</v>
      </c>
      <c r="E13" s="544">
        <f>'1-Баланс'!H21</f>
        <v>35822</v>
      </c>
      <c r="F13" s="544">
        <f>'1-Баланс'!H23</f>
        <v>59297</v>
      </c>
      <c r="G13" s="544">
        <f>'1-Баланс'!H24</f>
        <v>0</v>
      </c>
      <c r="H13" s="545"/>
      <c r="I13" s="544">
        <f>'1-Баланс'!H29+'1-Баланс'!H32</f>
        <v>360656</v>
      </c>
      <c r="J13" s="544">
        <f>'1-Баланс'!H30+'1-Баланс'!H33</f>
        <v>0</v>
      </c>
      <c r="K13" s="545"/>
      <c r="L13" s="544">
        <f>SUM(C13:K13)</f>
        <v>556431</v>
      </c>
      <c r="M13" s="546">
        <f>'1-Баланс'!H40</f>
        <v>19341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0</v>
      </c>
      <c r="M14" s="306">
        <f t="shared" si="0"/>
        <v>0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44">
        <f t="shared" si="1"/>
        <v>0</v>
      </c>
      <c r="M15" s="308"/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31.5">
      <c r="A17" s="508" t="s">
        <v>475</v>
      </c>
      <c r="B17" s="509" t="s">
        <v>476</v>
      </c>
      <c r="C17" s="612">
        <f>C13+C14</f>
        <v>100656</v>
      </c>
      <c r="D17" s="612">
        <f t="shared" ref="D17:M17" si="2">D13+D14</f>
        <v>0</v>
      </c>
      <c r="E17" s="612">
        <f t="shared" si="2"/>
        <v>35822</v>
      </c>
      <c r="F17" s="612">
        <f t="shared" si="2"/>
        <v>59297</v>
      </c>
      <c r="G17" s="612">
        <f t="shared" si="2"/>
        <v>0</v>
      </c>
      <c r="H17" s="612">
        <f t="shared" si="2"/>
        <v>0</v>
      </c>
      <c r="I17" s="612">
        <f t="shared" si="2"/>
        <v>360656</v>
      </c>
      <c r="J17" s="612">
        <f t="shared" si="2"/>
        <v>0</v>
      </c>
      <c r="K17" s="612">
        <f t="shared" si="2"/>
        <v>0</v>
      </c>
      <c r="L17" s="544">
        <f t="shared" si="1"/>
        <v>556431</v>
      </c>
      <c r="M17" s="613">
        <f t="shared" si="2"/>
        <v>19341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10797</v>
      </c>
      <c r="J18" s="544">
        <f>+'1-Баланс'!G33</f>
        <v>0</v>
      </c>
      <c r="K18" s="545"/>
      <c r="L18" s="544">
        <f t="shared" si="1"/>
        <v>10797</v>
      </c>
      <c r="M18" s="598">
        <v>-2379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44">
        <f t="shared" si="1"/>
        <v>0</v>
      </c>
      <c r="M19" s="306">
        <f>M20+M21</f>
        <v>-42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44">
        <f>SUM(C20:K20)</f>
        <v>0</v>
      </c>
      <c r="M20" s="308">
        <v>-42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1.5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1.5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-681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-681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>
        <v>681</v>
      </c>
      <c r="F28" s="307"/>
      <c r="G28" s="307"/>
      <c r="H28" s="307"/>
      <c r="I28" s="307"/>
      <c r="J28" s="307"/>
      <c r="K28" s="307"/>
      <c r="L28" s="544">
        <f t="shared" si="1"/>
        <v>681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/>
      <c r="D30" s="307"/>
      <c r="E30" s="307">
        <v>-719</v>
      </c>
      <c r="F30" s="307"/>
      <c r="G30" s="307"/>
      <c r="H30" s="307"/>
      <c r="I30" s="307">
        <v>186</v>
      </c>
      <c r="J30" s="307"/>
      <c r="K30" s="307"/>
      <c r="L30" s="544">
        <f t="shared" si="1"/>
        <v>-533</v>
      </c>
      <c r="M30" s="308">
        <v>2299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100656</v>
      </c>
      <c r="D31" s="612">
        <f t="shared" ref="D31:M31" si="6">D19+D22+D23+D26+D30+D29+D17+D18</f>
        <v>0</v>
      </c>
      <c r="E31" s="612">
        <f t="shared" si="6"/>
        <v>34422</v>
      </c>
      <c r="F31" s="612">
        <f t="shared" si="6"/>
        <v>59297</v>
      </c>
      <c r="G31" s="612">
        <f t="shared" si="6"/>
        <v>0</v>
      </c>
      <c r="H31" s="612">
        <f t="shared" si="6"/>
        <v>0</v>
      </c>
      <c r="I31" s="612">
        <f t="shared" si="6"/>
        <v>371639</v>
      </c>
      <c r="J31" s="612">
        <f t="shared" si="6"/>
        <v>0</v>
      </c>
      <c r="K31" s="612">
        <f t="shared" si="6"/>
        <v>0</v>
      </c>
      <c r="L31" s="544">
        <f t="shared" si="1"/>
        <v>566014</v>
      </c>
      <c r="M31" s="613">
        <f t="shared" si="6"/>
        <v>19219</v>
      </c>
      <c r="N31" s="157"/>
    </row>
    <row r="32" spans="1:14" ht="31.5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2.2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2.25" thickBot="1">
      <c r="A34" s="516" t="s">
        <v>507</v>
      </c>
      <c r="B34" s="517" t="s">
        <v>508</v>
      </c>
      <c r="C34" s="547">
        <f t="shared" ref="C34:K34" si="7">C31+C32+C33</f>
        <v>100656</v>
      </c>
      <c r="D34" s="547">
        <f t="shared" si="7"/>
        <v>0</v>
      </c>
      <c r="E34" s="547">
        <f t="shared" si="7"/>
        <v>34422</v>
      </c>
      <c r="F34" s="547">
        <f t="shared" si="7"/>
        <v>59297</v>
      </c>
      <c r="G34" s="547">
        <f t="shared" si="7"/>
        <v>0</v>
      </c>
      <c r="H34" s="547">
        <f t="shared" si="7"/>
        <v>0</v>
      </c>
      <c r="I34" s="547">
        <f t="shared" si="7"/>
        <v>371639</v>
      </c>
      <c r="J34" s="547">
        <f t="shared" si="7"/>
        <v>0</v>
      </c>
      <c r="K34" s="547">
        <f t="shared" si="7"/>
        <v>0</v>
      </c>
      <c r="L34" s="610">
        <f t="shared" si="1"/>
        <v>566014</v>
      </c>
      <c r="M34" s="548">
        <f>M31+M32+M33</f>
        <v>19219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0">
        <f>pdeReportingDate</f>
        <v>43980</v>
      </c>
      <c r="C38" s="700"/>
      <c r="D38" s="700"/>
      <c r="E38" s="700"/>
      <c r="F38" s="700"/>
      <c r="G38" s="700"/>
      <c r="H38" s="700"/>
      <c r="M38" s="160"/>
    </row>
    <row r="39" spans="1:14">
      <c r="A39" s="651"/>
      <c r="B39" s="673"/>
      <c r="C39" s="673"/>
      <c r="D39" s="673"/>
      <c r="E39" s="673"/>
      <c r="F39" s="673"/>
      <c r="G39" s="673"/>
      <c r="H39" s="673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1" t="str">
        <f>authorName</f>
        <v>Людмила Бонджова</v>
      </c>
      <c r="C41" s="701"/>
      <c r="D41" s="701"/>
      <c r="E41" s="701"/>
      <c r="F41" s="701"/>
      <c r="G41" s="701"/>
      <c r="H41" s="701"/>
      <c r="M41" s="160"/>
    </row>
    <row r="42" spans="1:14">
      <c r="A42" s="652"/>
      <c r="B42" s="674"/>
      <c r="C42" s="674"/>
      <c r="D42" s="674"/>
      <c r="E42" s="674"/>
      <c r="F42" s="674"/>
      <c r="G42" s="674"/>
      <c r="H42" s="674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2"/>
      <c r="C44" s="702"/>
      <c r="D44" s="702"/>
      <c r="E44" s="702"/>
      <c r="F44" s="702"/>
      <c r="G44" s="702"/>
      <c r="H44" s="702"/>
      <c r="M44" s="160"/>
    </row>
    <row r="45" spans="1:14">
      <c r="A45" s="653"/>
      <c r="B45" s="703" t="str">
        <f>+Начална!B17</f>
        <v>д.и.н. Огнян Донев</v>
      </c>
      <c r="C45" s="699"/>
      <c r="D45" s="699"/>
      <c r="E45" s="699"/>
      <c r="F45" s="535"/>
      <c r="G45" s="44"/>
      <c r="H45" s="41"/>
      <c r="M45" s="160"/>
    </row>
    <row r="46" spans="1:14">
      <c r="A46" s="653"/>
      <c r="B46" s="699"/>
      <c r="C46" s="699"/>
      <c r="D46" s="699"/>
      <c r="E46" s="699"/>
      <c r="F46" s="535"/>
      <c r="G46" s="44"/>
      <c r="H46" s="41"/>
      <c r="M46" s="160"/>
    </row>
    <row r="47" spans="1:14">
      <c r="A47" s="653"/>
      <c r="B47" s="699"/>
      <c r="C47" s="699"/>
      <c r="D47" s="699"/>
      <c r="E47" s="699"/>
      <c r="F47" s="535"/>
      <c r="G47" s="44"/>
      <c r="H47" s="41"/>
      <c r="M47" s="160"/>
    </row>
    <row r="48" spans="1:14">
      <c r="A48" s="653"/>
      <c r="B48" s="699"/>
      <c r="C48" s="699"/>
      <c r="D48" s="699"/>
      <c r="E48" s="699"/>
      <c r="F48" s="535"/>
      <c r="G48" s="44"/>
      <c r="H48" s="41"/>
      <c r="M48" s="160"/>
    </row>
    <row r="49" spans="1:13">
      <c r="A49" s="653"/>
      <c r="B49" s="699"/>
      <c r="C49" s="699"/>
      <c r="D49" s="699"/>
      <c r="E49" s="699"/>
      <c r="F49" s="535"/>
      <c r="G49" s="44"/>
      <c r="H49" s="41"/>
      <c r="M49" s="160"/>
    </row>
    <row r="50" spans="1:13">
      <c r="A50" s="653"/>
      <c r="B50" s="699"/>
      <c r="C50" s="699"/>
      <c r="D50" s="699"/>
      <c r="E50" s="699"/>
      <c r="F50" s="535"/>
      <c r="G50" s="44"/>
      <c r="H50" s="41"/>
      <c r="M50" s="160"/>
    </row>
    <row r="51" spans="1:13">
      <c r="A51" s="653"/>
      <c r="B51" s="699"/>
      <c r="C51" s="699"/>
      <c r="D51" s="699"/>
      <c r="E51" s="699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F2D4D9F9-DE61-45A3-92A2-4E78F2B34B7F}" scale="80">
      <pane xSplit="2" ySplit="11" topLeftCell="C24" activePane="bottomRight" state="frozen"/>
      <selection pane="bottomRight" activeCell="L31" sqref="L31:M31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17A0B690-90B4-478F-B629-540D801E18FD}" scale="80">
      <pane xSplit="2" ySplit="11" topLeftCell="H22" activePane="bottomRight" state="frozen"/>
      <selection pane="bottomRight" activeCell="A8" sqref="A8:A10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>
      <pane xSplit="2" ySplit="11" topLeftCell="G24" activePane="bottomRight" state="frozen"/>
      <selection pane="bottomRight" activeCell="K41" sqref="K41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  <customSheetView guid="{78A1B5DC-DDD3-47B7-ABD4-EC354C41CDDF}" scale="80">
      <pane xSplit="2" ySplit="11" topLeftCell="C12" activePane="bottomRight" state="frozen"/>
      <selection pane="bottomRight" activeCell="A32" sqref="A32"/>
      <pageMargins left="0.35433070866141736" right="0.31496062992125984" top="0.3" bottom="0.38" header="0.22" footer="0.23622047244094491"/>
      <printOptions horizontalCentered="1"/>
      <pageSetup paperSize="9" scale="65" orientation="landscape" r:id="rId4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35"/>
  <sheetViews>
    <sheetView zoomScale="80" zoomScaleNormal="85" zoomScaleSheetLayoutView="80" workbookViewId="0">
      <selection activeCell="F41" sqref="F4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31.03.2020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1" t="s">
        <v>453</v>
      </c>
      <c r="B7" s="722"/>
      <c r="C7" s="725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7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7" t="s">
        <v>513</v>
      </c>
      <c r="R7" s="719" t="s">
        <v>514</v>
      </c>
    </row>
    <row r="8" spans="1:21" s="119" customFormat="1" ht="66.75" customHeight="1">
      <c r="A8" s="723"/>
      <c r="B8" s="724"/>
      <c r="C8" s="72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8"/>
      <c r="R8" s="720"/>
    </row>
    <row r="9" spans="1:21" s="119" customFormat="1" ht="16.5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21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21">
      <c r="A11" s="327" t="s">
        <v>521</v>
      </c>
      <c r="B11" s="312" t="s">
        <v>522</v>
      </c>
      <c r="C11" s="143" t="s">
        <v>523</v>
      </c>
      <c r="D11" s="319">
        <v>60640</v>
      </c>
      <c r="E11" s="319">
        <v>49</v>
      </c>
      <c r="F11" s="319">
        <v>50</v>
      </c>
      <c r="G11" s="659">
        <f>D11+E11-F11</f>
        <v>60639</v>
      </c>
      <c r="H11" s="319"/>
      <c r="I11" s="319"/>
      <c r="J11" s="659">
        <f>G11+H11-I11</f>
        <v>60639</v>
      </c>
      <c r="K11" s="319">
        <v>1</v>
      </c>
      <c r="L11" s="319">
        <v>2</v>
      </c>
      <c r="M11" s="319"/>
      <c r="N11" s="659">
        <f>K11+L11-M11</f>
        <v>3</v>
      </c>
      <c r="O11" s="319"/>
      <c r="P11" s="319"/>
      <c r="Q11" s="659">
        <f t="shared" ref="Q11:Q27" si="0">N11+O11-P11</f>
        <v>3</v>
      </c>
      <c r="R11" s="685">
        <f t="shared" ref="R11:R27" si="1">J11-Q11</f>
        <v>60636</v>
      </c>
      <c r="S11" s="675"/>
      <c r="U11" s="675"/>
    </row>
    <row r="12" spans="1:21">
      <c r="A12" s="327" t="s">
        <v>524</v>
      </c>
      <c r="B12" s="312" t="s">
        <v>525</v>
      </c>
      <c r="C12" s="143" t="s">
        <v>526</v>
      </c>
      <c r="D12" s="319">
        <v>223768</v>
      </c>
      <c r="E12" s="319">
        <v>2519</v>
      </c>
      <c r="F12" s="319">
        <v>2033</v>
      </c>
      <c r="G12" s="659">
        <f t="shared" ref="G12:G41" si="2">D12+E12-F12</f>
        <v>224254</v>
      </c>
      <c r="H12" s="319"/>
      <c r="I12" s="319"/>
      <c r="J12" s="659">
        <f t="shared" ref="J12:J41" si="3">G12+H12-I12</f>
        <v>224254</v>
      </c>
      <c r="K12" s="319">
        <v>66186</v>
      </c>
      <c r="L12" s="319">
        <v>4609</v>
      </c>
      <c r="M12" s="319">
        <v>124</v>
      </c>
      <c r="N12" s="659">
        <f t="shared" ref="N12:N41" si="4">K12+L12-M12</f>
        <v>70671</v>
      </c>
      <c r="O12" s="319"/>
      <c r="P12" s="319"/>
      <c r="Q12" s="659">
        <f t="shared" si="0"/>
        <v>70671</v>
      </c>
      <c r="R12" s="685">
        <f t="shared" si="1"/>
        <v>153583</v>
      </c>
      <c r="S12" s="675"/>
      <c r="U12" s="675"/>
    </row>
    <row r="13" spans="1:21">
      <c r="A13" s="327" t="s">
        <v>527</v>
      </c>
      <c r="B13" s="312" t="s">
        <v>528</v>
      </c>
      <c r="C13" s="143" t="s">
        <v>529</v>
      </c>
      <c r="D13" s="319">
        <v>230570</v>
      </c>
      <c r="E13" s="319">
        <v>6086</v>
      </c>
      <c r="F13" s="319">
        <v>479</v>
      </c>
      <c r="G13" s="659">
        <f t="shared" si="2"/>
        <v>236177</v>
      </c>
      <c r="H13" s="319"/>
      <c r="I13" s="319"/>
      <c r="J13" s="659">
        <f t="shared" si="3"/>
        <v>236177</v>
      </c>
      <c r="K13" s="319">
        <v>133877</v>
      </c>
      <c r="L13" s="319">
        <v>3379</v>
      </c>
      <c r="M13" s="319">
        <v>156</v>
      </c>
      <c r="N13" s="659">
        <f t="shared" si="4"/>
        <v>137100</v>
      </c>
      <c r="O13" s="319"/>
      <c r="P13" s="319"/>
      <c r="Q13" s="659">
        <f t="shared" si="0"/>
        <v>137100</v>
      </c>
      <c r="R13" s="685">
        <f t="shared" si="1"/>
        <v>99077</v>
      </c>
      <c r="S13" s="675"/>
      <c r="U13" s="675"/>
    </row>
    <row r="14" spans="1:21">
      <c r="A14" s="327" t="s">
        <v>530</v>
      </c>
      <c r="B14" s="312" t="s">
        <v>531</v>
      </c>
      <c r="C14" s="143" t="s">
        <v>532</v>
      </c>
      <c r="D14" s="319">
        <v>21424</v>
      </c>
      <c r="E14" s="319">
        <v>562</v>
      </c>
      <c r="F14" s="319">
        <v>1</v>
      </c>
      <c r="G14" s="659">
        <f t="shared" si="2"/>
        <v>21985</v>
      </c>
      <c r="H14" s="319"/>
      <c r="I14" s="319"/>
      <c r="J14" s="659">
        <f t="shared" si="3"/>
        <v>21985</v>
      </c>
      <c r="K14" s="319">
        <v>7667</v>
      </c>
      <c r="L14" s="319">
        <v>259</v>
      </c>
      <c r="M14" s="319"/>
      <c r="N14" s="659">
        <f t="shared" si="4"/>
        <v>7926</v>
      </c>
      <c r="O14" s="319"/>
      <c r="P14" s="319"/>
      <c r="Q14" s="659">
        <f>N14+O14-P14</f>
        <v>7926</v>
      </c>
      <c r="R14" s="685">
        <f t="shared" si="1"/>
        <v>14059</v>
      </c>
      <c r="S14" s="675"/>
      <c r="U14" s="675"/>
    </row>
    <row r="15" spans="1:21">
      <c r="A15" s="327" t="s">
        <v>533</v>
      </c>
      <c r="B15" s="312" t="s">
        <v>534</v>
      </c>
      <c r="C15" s="143" t="s">
        <v>535</v>
      </c>
      <c r="D15" s="319">
        <v>26024</v>
      </c>
      <c r="E15" s="319">
        <v>1474</v>
      </c>
      <c r="F15" s="319">
        <v>988</v>
      </c>
      <c r="G15" s="659">
        <f t="shared" si="2"/>
        <v>26510</v>
      </c>
      <c r="H15" s="319"/>
      <c r="I15" s="319"/>
      <c r="J15" s="659">
        <f t="shared" si="3"/>
        <v>26510</v>
      </c>
      <c r="K15" s="319">
        <v>14884</v>
      </c>
      <c r="L15" s="319">
        <v>1159</v>
      </c>
      <c r="M15" s="319">
        <v>558</v>
      </c>
      <c r="N15" s="659">
        <f t="shared" si="4"/>
        <v>15485</v>
      </c>
      <c r="O15" s="319"/>
      <c r="P15" s="319"/>
      <c r="Q15" s="659">
        <f t="shared" si="0"/>
        <v>15485</v>
      </c>
      <c r="R15" s="685">
        <f t="shared" si="1"/>
        <v>11025</v>
      </c>
      <c r="S15" s="675"/>
      <c r="U15" s="675"/>
    </row>
    <row r="16" spans="1:21">
      <c r="A16" s="344" t="s">
        <v>814</v>
      </c>
      <c r="B16" s="312" t="s">
        <v>536</v>
      </c>
      <c r="C16" s="143" t="s">
        <v>537</v>
      </c>
      <c r="D16" s="319">
        <v>24604</v>
      </c>
      <c r="E16" s="319">
        <v>397</v>
      </c>
      <c r="F16" s="319">
        <v>563</v>
      </c>
      <c r="G16" s="659">
        <f t="shared" si="2"/>
        <v>24438</v>
      </c>
      <c r="H16" s="319"/>
      <c r="I16" s="319"/>
      <c r="J16" s="659">
        <f>G16+H16-I16</f>
        <v>24438</v>
      </c>
      <c r="K16" s="319">
        <v>16338</v>
      </c>
      <c r="L16" s="319">
        <v>570</v>
      </c>
      <c r="M16" s="319">
        <v>488</v>
      </c>
      <c r="N16" s="659">
        <f t="shared" si="4"/>
        <v>16420</v>
      </c>
      <c r="O16" s="319"/>
      <c r="P16" s="319"/>
      <c r="Q16" s="659">
        <f t="shared" si="0"/>
        <v>16420</v>
      </c>
      <c r="R16" s="685">
        <f t="shared" si="1"/>
        <v>8018</v>
      </c>
      <c r="S16" s="675"/>
      <c r="U16" s="675"/>
    </row>
    <row r="17" spans="1:24" s="145" customFormat="1" ht="33.6" customHeight="1">
      <c r="A17" s="327" t="s">
        <v>538</v>
      </c>
      <c r="B17" s="146" t="s">
        <v>539</v>
      </c>
      <c r="C17" s="144" t="s">
        <v>540</v>
      </c>
      <c r="D17" s="319">
        <v>29807</v>
      </c>
      <c r="E17" s="319">
        <v>6968</v>
      </c>
      <c r="F17" s="319">
        <v>6680</v>
      </c>
      <c r="G17" s="659">
        <f t="shared" si="2"/>
        <v>30095</v>
      </c>
      <c r="H17" s="319"/>
      <c r="I17" s="319"/>
      <c r="J17" s="659">
        <f t="shared" si="3"/>
        <v>30095</v>
      </c>
      <c r="K17" s="319">
        <v>0</v>
      </c>
      <c r="L17" s="319"/>
      <c r="M17" s="319"/>
      <c r="N17" s="659">
        <f t="shared" si="4"/>
        <v>0</v>
      </c>
      <c r="O17" s="319"/>
      <c r="P17" s="319"/>
      <c r="Q17" s="659">
        <f t="shared" si="0"/>
        <v>0</v>
      </c>
      <c r="R17" s="685">
        <f t="shared" si="1"/>
        <v>30095</v>
      </c>
      <c r="S17" s="675"/>
      <c r="U17" s="698"/>
    </row>
    <row r="18" spans="1:24">
      <c r="A18" s="327" t="s">
        <v>541</v>
      </c>
      <c r="B18" s="146" t="s">
        <v>542</v>
      </c>
      <c r="C18" s="143" t="s">
        <v>543</v>
      </c>
      <c r="D18" s="319">
        <v>485</v>
      </c>
      <c r="E18" s="319"/>
      <c r="F18" s="319">
        <v>40</v>
      </c>
      <c r="G18" s="659">
        <f t="shared" si="2"/>
        <v>445</v>
      </c>
      <c r="H18" s="319"/>
      <c r="I18" s="319"/>
      <c r="J18" s="659">
        <f t="shared" si="3"/>
        <v>445</v>
      </c>
      <c r="K18" s="319">
        <v>99</v>
      </c>
      <c r="L18" s="319">
        <v>12</v>
      </c>
      <c r="M18" s="319">
        <v>10</v>
      </c>
      <c r="N18" s="659">
        <f t="shared" si="4"/>
        <v>101</v>
      </c>
      <c r="O18" s="319"/>
      <c r="P18" s="319"/>
      <c r="Q18" s="659">
        <f t="shared" si="0"/>
        <v>101</v>
      </c>
      <c r="R18" s="685">
        <f t="shared" si="1"/>
        <v>344</v>
      </c>
      <c r="S18" s="675"/>
      <c r="U18" s="675"/>
    </row>
    <row r="19" spans="1:24">
      <c r="A19" s="327"/>
      <c r="B19" s="313" t="s">
        <v>544</v>
      </c>
      <c r="C19" s="147" t="s">
        <v>545</v>
      </c>
      <c r="D19" s="692">
        <f>SUM(D11:D18)</f>
        <v>617322</v>
      </c>
      <c r="E19" s="692">
        <f>SUM(E11:E18)</f>
        <v>18055</v>
      </c>
      <c r="F19" s="692">
        <f>SUM(F11:F18)</f>
        <v>10834</v>
      </c>
      <c r="G19" s="676">
        <f t="shared" si="2"/>
        <v>624543</v>
      </c>
      <c r="H19" s="677">
        <f>SUM(H11:H18)</f>
        <v>0</v>
      </c>
      <c r="I19" s="677">
        <f>SUM(I11:I18)</f>
        <v>0</v>
      </c>
      <c r="J19" s="683">
        <f t="shared" si="3"/>
        <v>624543</v>
      </c>
      <c r="K19" s="677">
        <f>SUM(K11:K18)</f>
        <v>239052</v>
      </c>
      <c r="L19" s="677">
        <f>SUM(L11:L18)</f>
        <v>9990</v>
      </c>
      <c r="M19" s="677">
        <f>SUM(M11:M18)</f>
        <v>1336</v>
      </c>
      <c r="N19" s="683">
        <f t="shared" si="4"/>
        <v>247706</v>
      </c>
      <c r="O19" s="677">
        <f>SUM(O11:O18)</f>
        <v>0</v>
      </c>
      <c r="P19" s="677">
        <f>SUM(P11:P18)</f>
        <v>0</v>
      </c>
      <c r="Q19" s="683">
        <f t="shared" si="0"/>
        <v>247706</v>
      </c>
      <c r="R19" s="686">
        <f t="shared" si="1"/>
        <v>376837</v>
      </c>
      <c r="S19" s="675"/>
    </row>
    <row r="20" spans="1:24">
      <c r="A20" s="328" t="s">
        <v>816</v>
      </c>
      <c r="B20" s="314" t="s">
        <v>546</v>
      </c>
      <c r="C20" s="147" t="s">
        <v>547</v>
      </c>
      <c r="D20" s="319">
        <v>10856</v>
      </c>
      <c r="E20" s="319">
        <v>421</v>
      </c>
      <c r="F20" s="319"/>
      <c r="G20" s="659">
        <f t="shared" si="2"/>
        <v>11277</v>
      </c>
      <c r="H20" s="319"/>
      <c r="I20" s="319"/>
      <c r="J20" s="659">
        <f t="shared" si="3"/>
        <v>11277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5">
        <f t="shared" si="1"/>
        <v>11277</v>
      </c>
    </row>
    <row r="21" spans="1:24">
      <c r="A21" s="326" t="s">
        <v>805</v>
      </c>
      <c r="B21" s="314" t="s">
        <v>548</v>
      </c>
      <c r="C21" s="147" t="s">
        <v>549</v>
      </c>
      <c r="D21" s="319">
        <v>355</v>
      </c>
      <c r="E21" s="319"/>
      <c r="F21" s="319"/>
      <c r="G21" s="659">
        <f t="shared" si="2"/>
        <v>355</v>
      </c>
      <c r="H21" s="319"/>
      <c r="I21" s="319"/>
      <c r="J21" s="659">
        <f t="shared" si="3"/>
        <v>355</v>
      </c>
      <c r="K21" s="319"/>
      <c r="L21" s="319">
        <v>8</v>
      </c>
      <c r="M21" s="319"/>
      <c r="N21" s="659">
        <f t="shared" si="4"/>
        <v>8</v>
      </c>
      <c r="O21" s="319"/>
      <c r="P21" s="319"/>
      <c r="Q21" s="659">
        <f t="shared" si="0"/>
        <v>8</v>
      </c>
      <c r="R21" s="685">
        <f t="shared" si="1"/>
        <v>347</v>
      </c>
    </row>
    <row r="22" spans="1:24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8"/>
      <c r="I22" s="678"/>
      <c r="J22" s="659">
        <f t="shared" si="3"/>
        <v>0</v>
      </c>
      <c r="K22" s="678"/>
      <c r="L22" s="678"/>
      <c r="M22" s="678"/>
      <c r="N22" s="659">
        <f t="shared" si="4"/>
        <v>0</v>
      </c>
      <c r="O22" s="678"/>
      <c r="P22" s="678"/>
      <c r="Q22" s="659">
        <f t="shared" si="0"/>
        <v>0</v>
      </c>
      <c r="R22" s="685">
        <f t="shared" si="1"/>
        <v>0</v>
      </c>
    </row>
    <row r="23" spans="1:24">
      <c r="A23" s="327" t="s">
        <v>521</v>
      </c>
      <c r="B23" s="312" t="s">
        <v>552</v>
      </c>
      <c r="C23" s="143" t="s">
        <v>553</v>
      </c>
      <c r="D23" s="319">
        <v>65759</v>
      </c>
      <c r="E23" s="319">
        <v>13</v>
      </c>
      <c r="F23" s="319">
        <v>13</v>
      </c>
      <c r="G23" s="659">
        <f t="shared" si="2"/>
        <v>65759</v>
      </c>
      <c r="H23" s="319"/>
      <c r="I23" s="319"/>
      <c r="J23" s="659">
        <f t="shared" si="3"/>
        <v>65759</v>
      </c>
      <c r="K23" s="319">
        <v>38501</v>
      </c>
      <c r="L23" s="319">
        <v>1171</v>
      </c>
      <c r="M23" s="319">
        <v>1</v>
      </c>
      <c r="N23" s="659">
        <f t="shared" si="4"/>
        <v>39671</v>
      </c>
      <c r="O23" s="319"/>
      <c r="P23" s="319"/>
      <c r="Q23" s="659">
        <f t="shared" si="0"/>
        <v>39671</v>
      </c>
      <c r="R23" s="685">
        <f t="shared" si="1"/>
        <v>26088</v>
      </c>
      <c r="T23" s="675"/>
    </row>
    <row r="24" spans="1:24">
      <c r="A24" s="327" t="s">
        <v>524</v>
      </c>
      <c r="B24" s="312" t="s">
        <v>554</v>
      </c>
      <c r="C24" s="143" t="s">
        <v>555</v>
      </c>
      <c r="D24" s="319">
        <v>21868</v>
      </c>
      <c r="E24" s="319">
        <v>254</v>
      </c>
      <c r="F24" s="319">
        <v>17</v>
      </c>
      <c r="G24" s="659">
        <f t="shared" si="2"/>
        <v>22105</v>
      </c>
      <c r="H24" s="319"/>
      <c r="I24" s="319"/>
      <c r="J24" s="659">
        <f t="shared" si="3"/>
        <v>22105</v>
      </c>
      <c r="K24" s="319">
        <v>11313</v>
      </c>
      <c r="L24" s="319">
        <v>538</v>
      </c>
      <c r="M24" s="319"/>
      <c r="N24" s="659">
        <f t="shared" si="4"/>
        <v>11851</v>
      </c>
      <c r="O24" s="319"/>
      <c r="P24" s="319"/>
      <c r="Q24" s="659">
        <f t="shared" si="0"/>
        <v>11851</v>
      </c>
      <c r="R24" s="685">
        <f t="shared" si="1"/>
        <v>10254</v>
      </c>
      <c r="T24" s="675"/>
    </row>
    <row r="25" spans="1:24">
      <c r="A25" s="329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319"/>
      <c r="M25" s="319"/>
      <c r="N25" s="659">
        <f t="shared" si="4"/>
        <v>0</v>
      </c>
      <c r="O25" s="319"/>
      <c r="P25" s="319"/>
      <c r="Q25" s="659">
        <f t="shared" si="0"/>
        <v>0</v>
      </c>
      <c r="R25" s="685">
        <f t="shared" si="1"/>
        <v>0</v>
      </c>
      <c r="T25" s="675"/>
    </row>
    <row r="26" spans="1:24">
      <c r="A26" s="327" t="s">
        <v>530</v>
      </c>
      <c r="B26" s="148" t="s">
        <v>542</v>
      </c>
      <c r="C26" s="143" t="s">
        <v>558</v>
      </c>
      <c r="D26" s="319">
        <v>7378</v>
      </c>
      <c r="E26" s="319">
        <v>329</v>
      </c>
      <c r="F26" s="319">
        <v>219</v>
      </c>
      <c r="G26" s="659">
        <f t="shared" si="2"/>
        <v>7488</v>
      </c>
      <c r="H26" s="319"/>
      <c r="I26" s="319"/>
      <c r="J26" s="659">
        <f t="shared" si="3"/>
        <v>7488</v>
      </c>
      <c r="K26" s="319">
        <v>2362</v>
      </c>
      <c r="L26" s="319"/>
      <c r="M26" s="319"/>
      <c r="N26" s="659">
        <f t="shared" si="4"/>
        <v>2362</v>
      </c>
      <c r="O26" s="319"/>
      <c r="P26" s="319"/>
      <c r="Q26" s="659">
        <f t="shared" si="0"/>
        <v>2362</v>
      </c>
      <c r="R26" s="685">
        <f t="shared" si="1"/>
        <v>5126</v>
      </c>
      <c r="T26" s="675"/>
      <c r="U26" s="675"/>
      <c r="X26" s="675"/>
    </row>
    <row r="27" spans="1:24">
      <c r="A27" s="327"/>
      <c r="B27" s="313" t="s">
        <v>559</v>
      </c>
      <c r="C27" s="149" t="s">
        <v>560</v>
      </c>
      <c r="D27" s="679">
        <f>SUM(D23:D26)</f>
        <v>95005</v>
      </c>
      <c r="E27" s="679">
        <f t="shared" ref="E27:P27" si="5">SUM(E23:E26)</f>
        <v>596</v>
      </c>
      <c r="F27" s="679">
        <f t="shared" si="5"/>
        <v>249</v>
      </c>
      <c r="G27" s="684">
        <f t="shared" si="2"/>
        <v>95352</v>
      </c>
      <c r="H27" s="679">
        <f t="shared" si="5"/>
        <v>0</v>
      </c>
      <c r="I27" s="679">
        <f t="shared" si="5"/>
        <v>0</v>
      </c>
      <c r="J27" s="684">
        <f t="shared" si="3"/>
        <v>95352</v>
      </c>
      <c r="K27" s="679">
        <f t="shared" si="5"/>
        <v>52176</v>
      </c>
      <c r="L27" s="679">
        <f t="shared" si="5"/>
        <v>1709</v>
      </c>
      <c r="M27" s="679">
        <f t="shared" si="5"/>
        <v>1</v>
      </c>
      <c r="N27" s="684">
        <f t="shared" si="4"/>
        <v>53884</v>
      </c>
      <c r="O27" s="679">
        <f t="shared" si="5"/>
        <v>0</v>
      </c>
      <c r="P27" s="679">
        <f t="shared" si="5"/>
        <v>0</v>
      </c>
      <c r="Q27" s="684">
        <f t="shared" si="0"/>
        <v>53884</v>
      </c>
      <c r="R27" s="687">
        <f t="shared" si="1"/>
        <v>41468</v>
      </c>
    </row>
    <row r="28" spans="1:24">
      <c r="A28" s="326" t="s">
        <v>807</v>
      </c>
      <c r="B28" s="316" t="s">
        <v>803</v>
      </c>
      <c r="C28" s="150"/>
      <c r="D28" s="323"/>
      <c r="E28" s="323"/>
      <c r="F28" s="323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680"/>
      <c r="R28" s="688"/>
    </row>
    <row r="29" spans="1:24">
      <c r="A29" s="327" t="s">
        <v>521</v>
      </c>
      <c r="B29" s="317" t="s">
        <v>561</v>
      </c>
      <c r="C29" s="151" t="s">
        <v>562</v>
      </c>
      <c r="D29" s="324">
        <f>SUM(D30:D33)</f>
        <v>73064</v>
      </c>
      <c r="E29" s="324">
        <f t="shared" ref="E29:P29" si="6">SUM(E30:E33)</f>
        <v>4349</v>
      </c>
      <c r="F29" s="324">
        <f t="shared" si="6"/>
        <v>222</v>
      </c>
      <c r="G29" s="681">
        <f t="shared" si="2"/>
        <v>77191</v>
      </c>
      <c r="H29" s="682">
        <f t="shared" si="6"/>
        <v>0</v>
      </c>
      <c r="I29" s="682">
        <f t="shared" si="6"/>
        <v>681</v>
      </c>
      <c r="J29" s="681">
        <f t="shared" si="3"/>
        <v>76510</v>
      </c>
      <c r="K29" s="682">
        <f t="shared" si="6"/>
        <v>0</v>
      </c>
      <c r="L29" s="682">
        <f t="shared" si="6"/>
        <v>0</v>
      </c>
      <c r="M29" s="682">
        <f t="shared" si="6"/>
        <v>0</v>
      </c>
      <c r="N29" s="681">
        <f t="shared" si="4"/>
        <v>0</v>
      </c>
      <c r="O29" s="682">
        <f t="shared" si="6"/>
        <v>0</v>
      </c>
      <c r="P29" s="682">
        <f t="shared" si="6"/>
        <v>0</v>
      </c>
      <c r="Q29" s="681">
        <f>N29+O29-P29</f>
        <v>0</v>
      </c>
      <c r="R29" s="689">
        <f>J29-Q29</f>
        <v>76510</v>
      </c>
    </row>
    <row r="30" spans="1:24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5">
        <f t="shared" ref="R30:R41" si="8">J30-Q30</f>
        <v>0</v>
      </c>
    </row>
    <row r="31" spans="1:24">
      <c r="A31" s="327"/>
      <c r="B31" s="312" t="s">
        <v>110</v>
      </c>
      <c r="C31" s="143" t="s">
        <v>564</v>
      </c>
      <c r="D31" s="319"/>
      <c r="E31" s="663"/>
      <c r="F31" s="663"/>
      <c r="G31" s="659">
        <f t="shared" si="2"/>
        <v>0</v>
      </c>
      <c r="H31" s="319"/>
      <c r="I31" s="319"/>
      <c r="J31" s="659">
        <f t="shared" si="3"/>
        <v>0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5">
        <f t="shared" si="8"/>
        <v>0</v>
      </c>
    </row>
    <row r="32" spans="1:24">
      <c r="A32" s="327"/>
      <c r="B32" s="312" t="s">
        <v>113</v>
      </c>
      <c r="C32" s="143" t="s">
        <v>565</v>
      </c>
      <c r="D32" s="319">
        <v>62985</v>
      </c>
      <c r="E32" s="663">
        <v>547</v>
      </c>
      <c r="F32" s="663"/>
      <c r="G32" s="659">
        <f t="shared" si="2"/>
        <v>63532</v>
      </c>
      <c r="H32" s="319"/>
      <c r="I32" s="319"/>
      <c r="J32" s="659">
        <f t="shared" si="3"/>
        <v>63532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5">
        <f t="shared" si="8"/>
        <v>63532</v>
      </c>
    </row>
    <row r="33" spans="1:18">
      <c r="A33" s="327"/>
      <c r="B33" s="312" t="s">
        <v>115</v>
      </c>
      <c r="C33" s="143" t="s">
        <v>566</v>
      </c>
      <c r="D33" s="319">
        <v>10079</v>
      </c>
      <c r="E33" s="663">
        <v>3802</v>
      </c>
      <c r="F33" s="663">
        <v>222</v>
      </c>
      <c r="G33" s="659">
        <f t="shared" si="2"/>
        <v>13659</v>
      </c>
      <c r="H33" s="319"/>
      <c r="I33" s="319">
        <v>681</v>
      </c>
      <c r="J33" s="659">
        <f t="shared" si="3"/>
        <v>12978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5">
        <f t="shared" si="8"/>
        <v>12978</v>
      </c>
    </row>
    <row r="34" spans="1:18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8">
        <f t="shared" si="9"/>
        <v>0</v>
      </c>
      <c r="I34" s="678">
        <f t="shared" si="9"/>
        <v>0</v>
      </c>
      <c r="J34" s="659">
        <f t="shared" si="3"/>
        <v>0</v>
      </c>
      <c r="K34" s="678">
        <f t="shared" si="9"/>
        <v>0</v>
      </c>
      <c r="L34" s="678">
        <f t="shared" si="9"/>
        <v>0</v>
      </c>
      <c r="M34" s="678">
        <f t="shared" si="9"/>
        <v>0</v>
      </c>
      <c r="N34" s="659">
        <f t="shared" si="4"/>
        <v>0</v>
      </c>
      <c r="O34" s="678">
        <f t="shared" si="9"/>
        <v>0</v>
      </c>
      <c r="P34" s="678">
        <f t="shared" si="9"/>
        <v>0</v>
      </c>
      <c r="Q34" s="659">
        <f t="shared" si="7"/>
        <v>0</v>
      </c>
      <c r="R34" s="685">
        <f t="shared" si="8"/>
        <v>0</v>
      </c>
    </row>
    <row r="35" spans="1:18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5">
        <f t="shared" si="8"/>
        <v>0</v>
      </c>
    </row>
    <row r="36" spans="1:18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5">
        <f t="shared" si="8"/>
        <v>0</v>
      </c>
    </row>
    <row r="37" spans="1:18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5">
        <f t="shared" si="8"/>
        <v>0</v>
      </c>
    </row>
    <row r="38" spans="1:18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5">
        <f t="shared" si="8"/>
        <v>0</v>
      </c>
    </row>
    <row r="39" spans="1:18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5">
        <f t="shared" si="8"/>
        <v>0</v>
      </c>
    </row>
    <row r="40" spans="1:18">
      <c r="A40" s="327"/>
      <c r="B40" s="313" t="s">
        <v>577</v>
      </c>
      <c r="C40" s="147" t="s">
        <v>578</v>
      </c>
      <c r="D40" s="677">
        <f>D29+D34+D39</f>
        <v>73064</v>
      </c>
      <c r="E40" s="677">
        <f t="shared" ref="E40:P40" si="10">E29+E34+E39</f>
        <v>4349</v>
      </c>
      <c r="F40" s="677">
        <f t="shared" si="10"/>
        <v>222</v>
      </c>
      <c r="G40" s="683">
        <f t="shared" si="2"/>
        <v>77191</v>
      </c>
      <c r="H40" s="321">
        <f t="shared" si="10"/>
        <v>0</v>
      </c>
      <c r="I40" s="321">
        <f t="shared" si="10"/>
        <v>681</v>
      </c>
      <c r="J40" s="693">
        <f t="shared" si="3"/>
        <v>76510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5">
        <f t="shared" si="8"/>
        <v>76510</v>
      </c>
    </row>
    <row r="41" spans="1:18">
      <c r="A41" s="328" t="s">
        <v>579</v>
      </c>
      <c r="B41" s="318" t="s">
        <v>580</v>
      </c>
      <c r="C41" s="147" t="s">
        <v>581</v>
      </c>
      <c r="D41" s="319">
        <v>30302</v>
      </c>
      <c r="E41" s="319"/>
      <c r="F41" s="319">
        <v>228</v>
      </c>
      <c r="G41" s="659">
        <f t="shared" si="2"/>
        <v>30074</v>
      </c>
      <c r="H41" s="319"/>
      <c r="I41" s="319"/>
      <c r="J41" s="659">
        <f t="shared" si="3"/>
        <v>30074</v>
      </c>
      <c r="K41" s="319">
        <v>14393</v>
      </c>
      <c r="L41" s="319"/>
      <c r="M41" s="319"/>
      <c r="N41" s="659">
        <f t="shared" si="4"/>
        <v>14393</v>
      </c>
      <c r="O41" s="319"/>
      <c r="P41" s="319"/>
      <c r="Q41" s="659">
        <f t="shared" si="7"/>
        <v>14393</v>
      </c>
      <c r="R41" s="685">
        <f t="shared" si="8"/>
        <v>15681</v>
      </c>
    </row>
    <row r="42" spans="1:18" ht="16.5" thickBot="1">
      <c r="A42" s="330"/>
      <c r="B42" s="331" t="s">
        <v>582</v>
      </c>
      <c r="C42" s="332" t="s">
        <v>583</v>
      </c>
      <c r="D42" s="691">
        <f>D19+D20+D21+D27+D40+D41</f>
        <v>826904</v>
      </c>
      <c r="E42" s="691">
        <f>E19+E20+E21+E27+E40+E41</f>
        <v>23421</v>
      </c>
      <c r="F42" s="691">
        <f t="shared" ref="F42:R42" si="11">F19+F20+F21+F27+F40+F41</f>
        <v>11533</v>
      </c>
      <c r="G42" s="691">
        <f t="shared" si="11"/>
        <v>838792</v>
      </c>
      <c r="H42" s="333">
        <f t="shared" si="11"/>
        <v>0</v>
      </c>
      <c r="I42" s="333">
        <f t="shared" si="11"/>
        <v>681</v>
      </c>
      <c r="J42" s="691">
        <f t="shared" si="11"/>
        <v>838111</v>
      </c>
      <c r="K42" s="691">
        <f t="shared" si="11"/>
        <v>305621</v>
      </c>
      <c r="L42" s="691">
        <f t="shared" si="11"/>
        <v>11707</v>
      </c>
      <c r="M42" s="691">
        <f t="shared" si="11"/>
        <v>1337</v>
      </c>
      <c r="N42" s="691">
        <f t="shared" si="11"/>
        <v>315991</v>
      </c>
      <c r="O42" s="691">
        <f t="shared" si="11"/>
        <v>0</v>
      </c>
      <c r="P42" s="691">
        <f t="shared" si="11"/>
        <v>0</v>
      </c>
      <c r="Q42" s="691">
        <f t="shared" si="11"/>
        <v>315991</v>
      </c>
      <c r="R42" s="690">
        <f t="shared" si="11"/>
        <v>522120</v>
      </c>
    </row>
    <row r="43" spans="1:18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8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8">
      <c r="A45" s="483"/>
      <c r="B45" s="651" t="s">
        <v>950</v>
      </c>
      <c r="C45" s="700">
        <f>pdeReportingDate</f>
        <v>43980</v>
      </c>
      <c r="D45" s="700"/>
      <c r="E45" s="700"/>
      <c r="F45" s="700"/>
      <c r="G45" s="700"/>
      <c r="H45" s="700"/>
      <c r="I45" s="700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8">
      <c r="A46" s="483"/>
      <c r="B46" s="651"/>
      <c r="C46" s="673"/>
      <c r="D46" s="673"/>
      <c r="E46" s="673"/>
      <c r="F46" s="673"/>
      <c r="G46" s="673"/>
      <c r="H46" s="673"/>
      <c r="I46" s="673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8">
      <c r="B47" s="651"/>
      <c r="C47" s="51"/>
      <c r="D47" s="51"/>
      <c r="E47" s="51"/>
      <c r="F47" s="51"/>
      <c r="G47" s="51"/>
      <c r="H47" s="51"/>
      <c r="I47" s="51"/>
    </row>
    <row r="48" spans="1:18">
      <c r="B48" s="652" t="s">
        <v>8</v>
      </c>
      <c r="C48" s="701" t="str">
        <f>authorName</f>
        <v>Людмила Бонджова</v>
      </c>
      <c r="D48" s="701"/>
      <c r="E48" s="701"/>
      <c r="F48" s="701"/>
      <c r="G48" s="701"/>
      <c r="H48" s="701"/>
      <c r="I48" s="701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2"/>
      <c r="D51" s="702"/>
      <c r="E51" s="702"/>
      <c r="F51" s="702"/>
      <c r="G51" s="702"/>
      <c r="H51" s="702"/>
      <c r="I51" s="702"/>
    </row>
    <row r="52" spans="2:9">
      <c r="B52" s="653"/>
      <c r="C52" s="703" t="str">
        <f>+Начална!B17</f>
        <v>д.и.н. Огнян Донев</v>
      </c>
      <c r="D52" s="699"/>
      <c r="E52" s="699"/>
      <c r="F52" s="699"/>
      <c r="G52" s="535"/>
      <c r="H52" s="44"/>
      <c r="I52" s="41"/>
    </row>
    <row r="53" spans="2:9">
      <c r="B53" s="653"/>
      <c r="C53" s="699"/>
      <c r="D53" s="699"/>
      <c r="E53" s="699"/>
      <c r="F53" s="699"/>
      <c r="G53" s="535"/>
      <c r="H53" s="44"/>
      <c r="I53" s="41"/>
    </row>
    <row r="54" spans="2:9">
      <c r="B54" s="653"/>
      <c r="C54" s="699"/>
      <c r="D54" s="699"/>
      <c r="E54" s="699"/>
      <c r="F54" s="699"/>
      <c r="G54" s="535"/>
      <c r="H54" s="44"/>
      <c r="I54" s="41"/>
    </row>
    <row r="55" spans="2:9">
      <c r="B55" s="653"/>
      <c r="C55" s="699"/>
      <c r="D55" s="699"/>
      <c r="E55" s="699"/>
      <c r="F55" s="699"/>
      <c r="G55" s="535"/>
      <c r="H55" s="44"/>
      <c r="I55" s="41"/>
    </row>
    <row r="56" spans="2:9">
      <c r="B56" s="653"/>
      <c r="C56" s="699"/>
      <c r="D56" s="699"/>
      <c r="E56" s="699"/>
      <c r="F56" s="699"/>
      <c r="G56" s="535"/>
      <c r="H56" s="44"/>
      <c r="I56" s="41"/>
    </row>
    <row r="57" spans="2:9">
      <c r="B57" s="653"/>
      <c r="C57" s="699"/>
      <c r="D57" s="699"/>
      <c r="E57" s="699"/>
      <c r="F57" s="699"/>
      <c r="G57" s="535"/>
      <c r="H57" s="44"/>
      <c r="I57" s="41"/>
    </row>
    <row r="58" spans="2:9">
      <c r="B58" s="653"/>
      <c r="C58" s="699"/>
      <c r="D58" s="699"/>
      <c r="E58" s="699"/>
      <c r="F58" s="699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F2D4D9F9-DE61-45A3-92A2-4E78F2B34B7F}" scale="80" fitToPage="1" topLeftCell="D4">
      <selection activeCell="R21" activeCellId="2" sqref="R15:R16 R18 R2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17A0B690-90B4-478F-B629-540D801E18FD}" scale="80" fitToPage="1" topLeftCell="A13">
      <selection activeCell="E26" sqref="E26:F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07871067-5294-4FEE-88CE-4A4A5BC97EF0}" scale="80" fitToPage="1" topLeftCell="A10">
      <selection activeCell="F35" sqref="F35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  <customSheetView guid="{78A1B5DC-DDD3-47B7-ABD4-EC354C41CDDF}" scale="80" fitToPage="1">
      <selection activeCell="F41" sqref="F4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4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zoomScale="70" zoomScaleNormal="85" zoomScaleSheetLayoutView="70" workbookViewId="0">
      <selection activeCell="I86" sqref="I86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31.03.2020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0" t="s">
        <v>453</v>
      </c>
      <c r="B8" s="732" t="s">
        <v>11</v>
      </c>
      <c r="C8" s="728" t="s">
        <v>587</v>
      </c>
      <c r="D8" s="348" t="s">
        <v>588</v>
      </c>
      <c r="E8" s="349"/>
      <c r="F8" s="118"/>
    </row>
    <row r="9" spans="1:6" s="119" customFormat="1">
      <c r="A9" s="731"/>
      <c r="B9" s="733"/>
      <c r="C9" s="729"/>
      <c r="D9" s="122" t="s">
        <v>589</v>
      </c>
      <c r="E9" s="350" t="s">
        <v>590</v>
      </c>
      <c r="F9" s="118"/>
    </row>
    <row r="10" spans="1:6" s="119" customFormat="1" ht="16.5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6.5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92686</v>
      </c>
      <c r="D13" s="345">
        <f>SUM(D14:D16)</f>
        <v>0</v>
      </c>
      <c r="E13" s="352">
        <f>SUM(E14:E16)</f>
        <v>92686</v>
      </c>
      <c r="F13" s="124"/>
    </row>
    <row r="14" spans="1:6">
      <c r="A14" s="353" t="s">
        <v>596</v>
      </c>
      <c r="B14" s="126" t="s">
        <v>597</v>
      </c>
      <c r="C14" s="351">
        <v>92497</v>
      </c>
      <c r="D14" s="351"/>
      <c r="E14" s="352">
        <f t="shared" ref="E14:E44" si="0">C14-D14</f>
        <v>92497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189</v>
      </c>
      <c r="D16" s="351"/>
      <c r="E16" s="352">
        <f t="shared" si="0"/>
        <v>189</v>
      </c>
      <c r="F16" s="124"/>
    </row>
    <row r="17" spans="1:6">
      <c r="A17" s="353" t="s">
        <v>602</v>
      </c>
      <c r="B17" s="126" t="s">
        <v>603</v>
      </c>
      <c r="C17" s="351"/>
      <c r="D17" s="351"/>
      <c r="E17" s="352">
        <f t="shared" si="0"/>
        <v>0</v>
      </c>
      <c r="F17" s="124"/>
    </row>
    <row r="18" spans="1:6">
      <c r="A18" s="353" t="s">
        <v>604</v>
      </c>
      <c r="B18" s="126" t="s">
        <v>605</v>
      </c>
      <c r="C18" s="345">
        <f>+C19+C20</f>
        <v>0</v>
      </c>
      <c r="D18" s="345">
        <f>+D19+D20</f>
        <v>0</v>
      </c>
      <c r="E18" s="352">
        <f t="shared" si="0"/>
        <v>0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/>
      <c r="D20" s="351"/>
      <c r="E20" s="352">
        <f t="shared" si="0"/>
        <v>0</v>
      </c>
      <c r="F20" s="124"/>
    </row>
    <row r="21" spans="1:6" ht="16.5" thickBot="1">
      <c r="A21" s="367" t="s">
        <v>609</v>
      </c>
      <c r="B21" s="368" t="s">
        <v>610</v>
      </c>
      <c r="C21" s="423">
        <f>C13+C17+C18</f>
        <v>92686</v>
      </c>
      <c r="D21" s="423">
        <f>D13+D17+D18</f>
        <v>0</v>
      </c>
      <c r="E21" s="424">
        <f>E13+E17+E18</f>
        <v>92686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1949</v>
      </c>
      <c r="D23" s="426"/>
      <c r="E23" s="425">
        <f t="shared" si="0"/>
        <v>1949</v>
      </c>
      <c r="F23" s="124"/>
    </row>
    <row r="24" spans="1:6" ht="16.5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7859</v>
      </c>
      <c r="D26" s="345">
        <f>SUM(D27:D29)</f>
        <v>7859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6929</v>
      </c>
      <c r="D27" s="351">
        <v>6929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930</v>
      </c>
      <c r="D28" s="351">
        <v>930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268151</v>
      </c>
      <c r="D30" s="351">
        <v>268151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16711</v>
      </c>
      <c r="D31" s="351">
        <v>16711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5907</v>
      </c>
      <c r="D32" s="351">
        <v>5907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2101</v>
      </c>
      <c r="D33" s="351">
        <v>2101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13880</v>
      </c>
      <c r="D35" s="345">
        <f>SUM(D36:D39)</f>
        <v>13880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1274</v>
      </c>
      <c r="D36" s="351">
        <v>1274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6081</v>
      </c>
      <c r="D37" s="351">
        <v>6081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v>6525</v>
      </c>
      <c r="D39" s="351">
        <v>6525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11880</v>
      </c>
      <c r="D40" s="345">
        <f>SUM(D41:D44)</f>
        <v>11880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11880</v>
      </c>
      <c r="D44" s="351">
        <v>11880</v>
      </c>
      <c r="E44" s="352">
        <f t="shared" si="0"/>
        <v>0</v>
      </c>
      <c r="F44" s="124"/>
    </row>
    <row r="45" spans="1:27" ht="16.5" thickBot="1">
      <c r="A45" s="374" t="s">
        <v>653</v>
      </c>
      <c r="B45" s="375" t="s">
        <v>654</v>
      </c>
      <c r="C45" s="421">
        <f>C26+C30+C31+C33+C32+C34+C35+C40</f>
        <v>326489</v>
      </c>
      <c r="D45" s="421">
        <f>D26+D30+D31+D33+D32+D34+D35+D40</f>
        <v>326489</v>
      </c>
      <c r="E45" s="422">
        <f>E26+E30+E31+E33+E32+E34+E35+E40</f>
        <v>0</v>
      </c>
      <c r="F45" s="124"/>
    </row>
    <row r="46" spans="1:27" ht="16.5" thickBot="1">
      <c r="A46" s="376" t="s">
        <v>655</v>
      </c>
      <c r="B46" s="377" t="s">
        <v>656</v>
      </c>
      <c r="C46" s="427">
        <f>C45+C23+C21+C11</f>
        <v>421124</v>
      </c>
      <c r="D46" s="427">
        <f>D45+D23+D21+D11</f>
        <v>326489</v>
      </c>
      <c r="E46" s="428">
        <f>E45+E23+E21+E11</f>
        <v>94635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0" t="s">
        <v>453</v>
      </c>
      <c r="B50" s="732" t="s">
        <v>11</v>
      </c>
      <c r="C50" s="734" t="s">
        <v>658</v>
      </c>
      <c r="D50" s="348" t="s">
        <v>659</v>
      </c>
      <c r="E50" s="348"/>
      <c r="F50" s="736" t="s">
        <v>660</v>
      </c>
    </row>
    <row r="51" spans="1:6" s="119" customFormat="1" ht="18" customHeight="1">
      <c r="A51" s="731"/>
      <c r="B51" s="733"/>
      <c r="C51" s="735"/>
      <c r="D51" s="121" t="s">
        <v>589</v>
      </c>
      <c r="E51" s="121" t="s">
        <v>590</v>
      </c>
      <c r="F51" s="737"/>
    </row>
    <row r="52" spans="1:6" s="119" customFormat="1" ht="16.5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>
      <c r="A54" s="353" t="s">
        <v>662</v>
      </c>
      <c r="B54" s="126" t="s">
        <v>663</v>
      </c>
      <c r="C54" s="129">
        <f>SUM(C55:C57)</f>
        <v>2504</v>
      </c>
      <c r="D54" s="129">
        <f>SUM(D55:D57)</f>
        <v>0</v>
      </c>
      <c r="E54" s="127">
        <f>C54-D54</f>
        <v>2504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>
        <v>2504</v>
      </c>
      <c r="D57" s="188"/>
      <c r="E57" s="127">
        <f t="shared" si="1"/>
        <v>2504</v>
      </c>
      <c r="F57" s="187"/>
    </row>
    <row r="58" spans="1:6" ht="31.5">
      <c r="A58" s="353" t="s">
        <v>669</v>
      </c>
      <c r="B58" s="126" t="s">
        <v>670</v>
      </c>
      <c r="C58" s="129">
        <f>C59+C61</f>
        <v>59339</v>
      </c>
      <c r="D58" s="129">
        <f>D59+D61</f>
        <v>0</v>
      </c>
      <c r="E58" s="127">
        <f t="shared" si="1"/>
        <v>59339</v>
      </c>
      <c r="F58" s="381">
        <f>F59+F61</f>
        <v>99478</v>
      </c>
    </row>
    <row r="59" spans="1:6">
      <c r="A59" s="353" t="s">
        <v>671</v>
      </c>
      <c r="B59" s="126" t="s">
        <v>672</v>
      </c>
      <c r="C59" s="188">
        <v>59339</v>
      </c>
      <c r="D59" s="188"/>
      <c r="E59" s="127">
        <f t="shared" si="1"/>
        <v>59339</v>
      </c>
      <c r="F59" s="187">
        <v>99478</v>
      </c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29100</v>
      </c>
      <c r="D66" s="188"/>
      <c r="E66" s="127">
        <f t="shared" si="1"/>
        <v>29100</v>
      </c>
      <c r="F66" s="187"/>
    </row>
    <row r="67" spans="1:6">
      <c r="A67" s="353" t="s">
        <v>684</v>
      </c>
      <c r="B67" s="126" t="s">
        <v>685</v>
      </c>
      <c r="C67" s="188">
        <v>25167</v>
      </c>
      <c r="D67" s="188"/>
      <c r="E67" s="127">
        <f t="shared" si="1"/>
        <v>25167</v>
      </c>
      <c r="F67" s="187"/>
    </row>
    <row r="68" spans="1:6" ht="16.5" thickBot="1">
      <c r="A68" s="367" t="s">
        <v>686</v>
      </c>
      <c r="B68" s="368" t="s">
        <v>687</v>
      </c>
      <c r="C68" s="418">
        <f>C54+C58+C63+C64+C65+C66</f>
        <v>90943</v>
      </c>
      <c r="D68" s="418">
        <f>D54+D58+D63+D64+D65+D66</f>
        <v>0</v>
      </c>
      <c r="E68" s="419">
        <f t="shared" si="1"/>
        <v>90943</v>
      </c>
      <c r="F68" s="420">
        <f>F54+F58+F63+F64+F65+F66</f>
        <v>99478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8093</v>
      </c>
      <c r="D70" s="188"/>
      <c r="E70" s="127">
        <f t="shared" si="1"/>
        <v>8093</v>
      </c>
      <c r="F70" s="187"/>
    </row>
    <row r="71" spans="1:6" ht="16.5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>
      <c r="A73" s="353" t="s">
        <v>662</v>
      </c>
      <c r="B73" s="126" t="s">
        <v>692</v>
      </c>
      <c r="C73" s="128">
        <f>SUM(C74:C76)</f>
        <v>8822</v>
      </c>
      <c r="D73" s="128">
        <f>SUM(D74:D76)</f>
        <v>8822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v>6225</v>
      </c>
      <c r="D74" s="188">
        <v>6225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>
        <v>2597</v>
      </c>
      <c r="D75" s="188">
        <v>2597</v>
      </c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53" t="s">
        <v>669</v>
      </c>
      <c r="B77" s="126" t="s">
        <v>699</v>
      </c>
      <c r="C77" s="129">
        <f>C78+C80</f>
        <v>281198</v>
      </c>
      <c r="D77" s="129">
        <f>D78+D80</f>
        <v>281198</v>
      </c>
      <c r="E77" s="129">
        <f>E78+E80</f>
        <v>0</v>
      </c>
      <c r="F77" s="381">
        <f>F78+F80</f>
        <v>195313</v>
      </c>
    </row>
    <row r="78" spans="1:6">
      <c r="A78" s="353" t="s">
        <v>700</v>
      </c>
      <c r="B78" s="126" t="s">
        <v>701</v>
      </c>
      <c r="C78" s="188">
        <v>281198</v>
      </c>
      <c r="D78" s="188">
        <v>281198</v>
      </c>
      <c r="E78" s="127">
        <f t="shared" si="1"/>
        <v>0</v>
      </c>
      <c r="F78" s="187">
        <f>294791-99478</f>
        <v>195313</v>
      </c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17832</v>
      </c>
      <c r="D82" s="129">
        <f>SUM(D83:D86)</f>
        <v>17832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3" t="s">
        <v>713</v>
      </c>
      <c r="B85" s="126" t="s">
        <v>714</v>
      </c>
      <c r="C85" s="188">
        <v>17832</v>
      </c>
      <c r="D85" s="188">
        <v>17832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171341</v>
      </c>
      <c r="D87" s="125">
        <f>SUM(D88:D92)+D96</f>
        <v>171341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143415</v>
      </c>
      <c r="D89" s="188">
        <v>143415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1116</v>
      </c>
      <c r="D90" s="188">
        <v>1116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13205</v>
      </c>
      <c r="D91" s="188">
        <v>13205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10693</v>
      </c>
      <c r="D92" s="129">
        <f>SUM(D93:D95)</f>
        <v>10693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2869</v>
      </c>
      <c r="D93" s="188">
        <v>2869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5870</v>
      </c>
      <c r="D94" s="188">
        <v>5870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v>1954</v>
      </c>
      <c r="D95" s="188">
        <v>1954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2912</v>
      </c>
      <c r="D96" s="188">
        <v>2912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34008</v>
      </c>
      <c r="D97" s="188">
        <v>34008</v>
      </c>
      <c r="E97" s="127">
        <f t="shared" si="1"/>
        <v>0</v>
      </c>
      <c r="F97" s="187"/>
    </row>
    <row r="98" spans="1:27" ht="16.5" thickBot="1">
      <c r="A98" s="367" t="s">
        <v>737</v>
      </c>
      <c r="B98" s="368" t="s">
        <v>738</v>
      </c>
      <c r="C98" s="416">
        <f>C87+C82+C77+C73+C97</f>
        <v>513201</v>
      </c>
      <c r="D98" s="416">
        <f>D87+D82+D77+D73+D97</f>
        <v>513201</v>
      </c>
      <c r="E98" s="416">
        <f>E87+E82+E77+E73+E97</f>
        <v>0</v>
      </c>
      <c r="F98" s="417">
        <f>F87+F82+F77+F73+F97</f>
        <v>195313</v>
      </c>
    </row>
    <row r="99" spans="1:27" ht="16.5" thickBot="1">
      <c r="A99" s="395" t="s">
        <v>739</v>
      </c>
      <c r="B99" s="396" t="s">
        <v>740</v>
      </c>
      <c r="C99" s="410">
        <f>C98+C70+C68</f>
        <v>612237</v>
      </c>
      <c r="D99" s="410">
        <f>D98+D70+D68</f>
        <v>513201</v>
      </c>
      <c r="E99" s="410">
        <f>E98+E70+E68</f>
        <v>99036</v>
      </c>
      <c r="F99" s="411">
        <f>F98+F70+F68</f>
        <v>294791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6.5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6.5" thickBot="1">
      <c r="A106" s="371" t="s">
        <v>750</v>
      </c>
      <c r="B106" s="405" t="s">
        <v>751</v>
      </c>
      <c r="C106" s="271">
        <v>2</v>
      </c>
      <c r="D106" s="271"/>
      <c r="E106" s="271"/>
      <c r="F106" s="406">
        <f>C106+D106-E106</f>
        <v>2</v>
      </c>
    </row>
    <row r="107" spans="1:27" ht="16.5" thickBot="1">
      <c r="A107" s="401" t="s">
        <v>752</v>
      </c>
      <c r="B107" s="407" t="s">
        <v>753</v>
      </c>
      <c r="C107" s="408">
        <f>SUM(C104:C106)</f>
        <v>2</v>
      </c>
      <c r="D107" s="408">
        <f>SUM(D104:D106)</f>
        <v>0</v>
      </c>
      <c r="E107" s="408">
        <f>SUM(E104:E106)</f>
        <v>0</v>
      </c>
      <c r="F107" s="409">
        <f>SUM(F104:F106)</f>
        <v>2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7" t="s">
        <v>817</v>
      </c>
      <c r="B109" s="727"/>
      <c r="C109" s="727"/>
      <c r="D109" s="727"/>
      <c r="E109" s="727"/>
      <c r="F109" s="72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0">
        <f>pdeReportingDate</f>
        <v>43980</v>
      </c>
      <c r="C111" s="700"/>
      <c r="D111" s="700"/>
      <c r="E111" s="700"/>
      <c r="F111" s="700"/>
      <c r="G111" s="51"/>
      <c r="H111" s="51"/>
    </row>
    <row r="112" spans="1:27">
      <c r="A112" s="651"/>
      <c r="B112" s="673"/>
      <c r="C112" s="673"/>
      <c r="D112" s="673"/>
      <c r="E112" s="673"/>
      <c r="F112" s="673"/>
      <c r="G112" s="673"/>
      <c r="H112" s="673"/>
    </row>
    <row r="113" spans="1:8">
      <c r="A113" s="651"/>
      <c r="B113" s="700"/>
      <c r="C113" s="700"/>
      <c r="D113" s="700"/>
      <c r="E113" s="700"/>
      <c r="F113" s="700"/>
      <c r="G113" s="51"/>
      <c r="H113" s="51"/>
    </row>
    <row r="114" spans="1:8">
      <c r="A114" s="652" t="s">
        <v>8</v>
      </c>
      <c r="B114" s="701" t="str">
        <f>authorName</f>
        <v>Людмила Бонджова</v>
      </c>
      <c r="C114" s="701"/>
      <c r="D114" s="701"/>
      <c r="E114" s="701"/>
      <c r="F114" s="701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1"/>
      <c r="C116" s="701"/>
      <c r="D116" s="701"/>
      <c r="E116" s="701"/>
      <c r="F116" s="701"/>
      <c r="G116" s="75"/>
      <c r="H116" s="75"/>
    </row>
    <row r="117" spans="1:8">
      <c r="A117" s="652" t="s">
        <v>894</v>
      </c>
      <c r="B117" s="702"/>
      <c r="C117" s="702"/>
      <c r="D117" s="702"/>
      <c r="E117" s="702"/>
      <c r="F117" s="702"/>
      <c r="G117" s="77"/>
      <c r="H117" s="77"/>
    </row>
    <row r="118" spans="1:8" ht="15.75" customHeight="1">
      <c r="A118" s="653"/>
      <c r="B118" s="703" t="str">
        <f>+Начална!B17</f>
        <v>д.и.н. Огнян Донев</v>
      </c>
      <c r="C118" s="699"/>
      <c r="D118" s="699"/>
      <c r="E118" s="699"/>
      <c r="F118" s="699"/>
      <c r="G118" s="653"/>
      <c r="H118" s="653"/>
    </row>
    <row r="119" spans="1:8" ht="15.75" customHeight="1">
      <c r="A119" s="653"/>
      <c r="B119" s="699"/>
      <c r="C119" s="699"/>
      <c r="D119" s="699"/>
      <c r="E119" s="699"/>
      <c r="F119" s="699"/>
      <c r="G119" s="653"/>
      <c r="H119" s="653"/>
    </row>
    <row r="120" spans="1:8" ht="15.75" customHeight="1">
      <c r="A120" s="653"/>
      <c r="B120" s="699"/>
      <c r="C120" s="699"/>
      <c r="D120" s="699"/>
      <c r="E120" s="699"/>
      <c r="F120" s="699"/>
      <c r="G120" s="653"/>
      <c r="H120" s="653"/>
    </row>
    <row r="121" spans="1:8" ht="15.75" customHeight="1">
      <c r="A121" s="653"/>
      <c r="B121" s="699"/>
      <c r="C121" s="699"/>
      <c r="D121" s="699"/>
      <c r="E121" s="699"/>
      <c r="F121" s="699"/>
      <c r="G121" s="653"/>
      <c r="H121" s="653"/>
    </row>
    <row r="122" spans="1:8">
      <c r="A122" s="653"/>
      <c r="B122" s="699"/>
      <c r="C122" s="699"/>
      <c r="D122" s="699"/>
      <c r="E122" s="699"/>
      <c r="F122" s="699"/>
      <c r="G122" s="653"/>
      <c r="H122" s="653"/>
    </row>
    <row r="123" spans="1:8">
      <c r="A123" s="653"/>
      <c r="B123" s="699"/>
      <c r="C123" s="699"/>
      <c r="D123" s="699"/>
      <c r="E123" s="699"/>
      <c r="F123" s="699"/>
      <c r="G123" s="653"/>
      <c r="H123" s="653"/>
    </row>
    <row r="124" spans="1:8">
      <c r="A124" s="653"/>
      <c r="B124" s="699"/>
      <c r="C124" s="699"/>
      <c r="D124" s="699"/>
      <c r="E124" s="699"/>
      <c r="F124" s="699"/>
      <c r="G124" s="653"/>
      <c r="H124" s="653"/>
    </row>
  </sheetData>
  <sheetProtection password="D554" sheet="1" objects="1" scenarios="1" insertRows="0"/>
  <customSheetViews>
    <customSheetView guid="{F2D4D9F9-DE61-45A3-92A2-4E78F2B34B7F}" scale="70" fitToPage="1" topLeftCell="A88">
      <selection activeCell="E107" sqref="E10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17A0B690-90B4-478F-B629-540D801E18FD}" scale="70" fitToPage="1" topLeftCell="A88">
      <selection activeCell="F78" sqref="F78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07871067-5294-4FEE-88CE-4A4A5BC97EF0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  <customSheetView guid="{78A1B5DC-DDD3-47B7-ABD4-EC354C41CDDF}" scale="70" fitToPage="1">
      <selection activeCell="I86" sqref="I86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4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85" zoomScaleNormal="85" zoomScaleSheetLayoutView="85" workbookViewId="0">
      <selection activeCell="C21" sqref="C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5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97" t="s">
        <v>516</v>
      </c>
      <c r="H10" s="697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7127256</v>
      </c>
      <c r="D13" s="432"/>
      <c r="E13" s="432"/>
      <c r="F13" s="432">
        <v>74441</v>
      </c>
      <c r="G13" s="432"/>
      <c r="H13" s="432">
        <v>681</v>
      </c>
      <c r="I13" s="433">
        <f>F13+G13-H13</f>
        <v>73760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2750</v>
      </c>
      <c r="G17" s="432"/>
      <c r="H17" s="432"/>
      <c r="I17" s="433">
        <f t="shared" si="0"/>
        <v>2750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7127256</v>
      </c>
      <c r="D18" s="439">
        <f t="shared" si="1"/>
        <v>0</v>
      </c>
      <c r="E18" s="439">
        <f t="shared" si="1"/>
        <v>0</v>
      </c>
      <c r="F18" s="439">
        <f t="shared" si="1"/>
        <v>77191</v>
      </c>
      <c r="G18" s="439">
        <f t="shared" si="1"/>
        <v>0</v>
      </c>
      <c r="H18" s="439">
        <f t="shared" si="1"/>
        <v>681</v>
      </c>
      <c r="I18" s="440">
        <f t="shared" si="0"/>
        <v>76510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43980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95"/>
      <c r="C32" s="695"/>
      <c r="D32" s="695"/>
      <c r="E32" s="695"/>
      <c r="F32" s="695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96"/>
      <c r="C35" s="696"/>
      <c r="D35" s="696"/>
      <c r="E35" s="696"/>
      <c r="F35" s="696"/>
      <c r="G35" s="115"/>
      <c r="H35" s="115"/>
      <c r="I35" s="115"/>
    </row>
    <row r="36" spans="1:9" s="107" customFormat="1">
      <c r="A36" s="652"/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>
      <c r="A37" s="652" t="s">
        <v>894</v>
      </c>
      <c r="B37" s="746"/>
      <c r="C37" s="746"/>
      <c r="D37" s="746"/>
      <c r="E37" s="746"/>
      <c r="F37" s="746"/>
      <c r="G37" s="746"/>
      <c r="H37" s="746"/>
      <c r="I37" s="746"/>
    </row>
    <row r="38" spans="1:9" s="107" customFormat="1" ht="15.75" customHeight="1">
      <c r="A38" s="694"/>
      <c r="B38" s="703" t="str">
        <f>+Начална!B17</f>
        <v>д.и.н. 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94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94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94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94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94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94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F2D4D9F9-DE61-45A3-92A2-4E78F2B34B7F}" scale="85" fitToPage="1" topLeftCell="A13">
      <selection activeCell="J31" sqref="J3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1"/>
      <headerFooter alignWithMargins="0"/>
    </customSheetView>
    <customSheetView guid="{17A0B690-90B4-478F-B629-540D801E18FD}" scale="85" fitToPage="1" topLeftCell="A4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2"/>
      <headerFooter alignWithMargins="0"/>
    </customSheetView>
    <customSheetView guid="{07871067-5294-4FEE-88CE-4A4A5BC97EF0}" scale="85" fitToPage="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78A1B5DC-DDD3-47B7-ABD4-EC354C41CDDF}" scale="85" fitToPage="1">
      <selection activeCell="C21" sqref="C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4"/>
      <headerFooter alignWithMargins="0"/>
    </customSheetView>
  </customSheetViews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69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topLeftCell="B1" zoomScale="85" zoomScaleNormal="85" zoomScaleSheetLayoutView="85" workbookViewId="0">
      <selection activeCell="P30" sqref="P30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106" t="s">
        <v>516</v>
      </c>
      <c r="H10" s="106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6982826</v>
      </c>
      <c r="D13" s="432"/>
      <c r="E13" s="432"/>
      <c r="F13" s="432">
        <v>72810</v>
      </c>
      <c r="G13" s="432"/>
      <c r="H13" s="432">
        <v>359</v>
      </c>
      <c r="I13" s="433">
        <f>F13+G13-H13</f>
        <v>72451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6982826</v>
      </c>
      <c r="D18" s="439">
        <f t="shared" si="1"/>
        <v>0</v>
      </c>
      <c r="E18" s="439">
        <f t="shared" si="1"/>
        <v>0</v>
      </c>
      <c r="F18" s="439">
        <f t="shared" si="1"/>
        <v>72810</v>
      </c>
      <c r="G18" s="439">
        <f t="shared" si="1"/>
        <v>0</v>
      </c>
      <c r="H18" s="439">
        <f t="shared" si="1"/>
        <v>359</v>
      </c>
      <c r="I18" s="440">
        <f t="shared" si="0"/>
        <v>72451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43980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73"/>
      <c r="C32" s="673"/>
      <c r="D32" s="673"/>
      <c r="E32" s="673"/>
      <c r="F32" s="673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>
      <c r="A37" s="652" t="s">
        <v>894</v>
      </c>
      <c r="B37" s="746"/>
      <c r="C37" s="746"/>
      <c r="D37" s="746"/>
      <c r="E37" s="746"/>
      <c r="F37" s="746"/>
      <c r="G37" s="746"/>
      <c r="H37" s="746"/>
      <c r="I37" s="746"/>
    </row>
    <row r="38" spans="1:9" s="107" customFormat="1" ht="15.75" customHeight="1">
      <c r="A38" s="653"/>
      <c r="B38" s="703" t="str">
        <f>+Начална!B17</f>
        <v>д.и.н. 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53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53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53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53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53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53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F2D4D9F9-DE61-45A3-92A2-4E78F2B34B7F}" scale="85" fitToPage="1" topLeftCell="B7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scale="85" fitToPage="1" topLeftCell="B7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85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78A1B5DC-DDD3-47B7-ABD4-EC354C41CDDF}" scale="85" fitToPage="1" topLeftCell="B1">
      <selection activeCell="P30" sqref="P30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2020-02-27T15:40:51Z</cp:lastPrinted>
  <dcterms:created xsi:type="dcterms:W3CDTF">2006-09-16T00:00:00Z</dcterms:created>
  <dcterms:modified xsi:type="dcterms:W3CDTF">2020-06-01T10:55:17Z</dcterms:modified>
</cp:coreProperties>
</file>