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onsolidation\2022\Q2 2022\!Консо работни файлове\KFN\Final\"/>
    </mc:Choice>
  </mc:AlternateContent>
  <xr:revisionPtr revIDLastSave="0" documentId="13_ncr:81_{2586586B-E881-44D4-8272-4CF826FCF7BD}" xr6:coauthVersionLast="47" xr6:coauthVersionMax="47" xr10:uidLastSave="{00000000-0000-0000-0000-000000000000}"/>
  <bookViews>
    <workbookView xWindow="-120" yWindow="-120" windowWidth="29040" windowHeight="15840" firstSheet="4" activeTab="9" xr2:uid="{08ED8D87-F4B5-40CA-B7B9-91AE083E7AF4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 общо" sheetId="8" r:id="rId8"/>
    <sheet name="Справка 8 България" sheetId="9" r:id="rId9"/>
    <sheet name="Справка 8 САЩ" sheetId="10" r:id="rId10"/>
    <sheet name="Контроли" sheetId="11" state="hidden" r:id="rId11"/>
    <sheet name="Показатели" sheetId="12" state="hidden" r:id="rId12"/>
    <sheet name="Danni" sheetId="13" state="hidden" r:id="rId13"/>
    <sheet name="Nomenklaturi" sheetId="14" state="hidden" r:id="rId14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2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0">Контроли!$A$1:$G$15</definedName>
    <definedName name="_xlnm.Print_Area" localSheetId="0">Начална!$A$1:$B$29</definedName>
    <definedName name="_xlnm.Print_Area" localSheetId="11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4CF1DA4_12CE_4390_A52F_40E755EBA514_.wvu.FilterData" localSheetId="3" hidden="1">'3-Отчет за паричния поток'!$A$9:$D$48</definedName>
    <definedName name="Z_0A736278_EAF3_4E8C_8275_34AA04F6925B_.wvu.FilterData" localSheetId="3" hidden="1">'3-Отчет за паричния поток'!$A$9:$D$48</definedName>
    <definedName name="Z_23BEE295_D922_43C3_8F5E_52A6C7961032_.wvu.FilterData" localSheetId="3" hidden="1">'3-Отчет за паричния поток'!$A$9:$D$48</definedName>
    <definedName name="Z_23BEE295_D922_43C3_8F5E_52A6C7961032_.wvu.FilterData" localSheetId="12" hidden="1">Danni!$A$1:$H$1294</definedName>
    <definedName name="Z_23BEE295_D922_43C3_8F5E_52A6C7961032_.wvu.PrintArea" localSheetId="1" hidden="1">'1-Баланс'!$A$1:$H$109</definedName>
    <definedName name="Z_23BEE295_D922_43C3_8F5E_52A6C7961032_.wvu.PrintArea" localSheetId="2" hidden="1">'2-Отчет за доходите'!$A$1:$H$61</definedName>
    <definedName name="Z_23BEE295_D922_43C3_8F5E_52A6C7961032_.wvu.PrintArea" localSheetId="4" hidden="1">'4-Отчет за собствения капитал'!$A$1:$M$49</definedName>
    <definedName name="Z_23BEE295_D922_43C3_8F5E_52A6C7961032_.wvu.PrintArea" localSheetId="10" hidden="1">Контроли!$A$1:$G$15</definedName>
    <definedName name="Z_23BEE295_D922_43C3_8F5E_52A6C7961032_.wvu.PrintArea" localSheetId="0" hidden="1">Начална!$A$1:$B$29</definedName>
    <definedName name="Z_23BEE295_D922_43C3_8F5E_52A6C7961032_.wvu.PrintArea" localSheetId="11" hidden="1">Показатели!$A$1:$D$24</definedName>
    <definedName name="Z_23BEE295_D922_43C3_8F5E_52A6C7961032_.wvu.PrintArea" localSheetId="5" hidden="1">'Справка 6'!$A$1:$R$56</definedName>
    <definedName name="Z_23BEE295_D922_43C3_8F5E_52A6C7961032_.wvu.PrintTitles" localSheetId="1" hidden="1">'1-Баланс'!$9:$9</definedName>
    <definedName name="Z_3239EBCD_0009_49F8_9CD4_7149DE51B97F_.wvu.FilterData" localSheetId="3" hidden="1">'3-Отчет за паричния поток'!$A$9:$D$48</definedName>
    <definedName name="Z_3239EBCD_0009_49F8_9CD4_7149DE51B97F_.wvu.FilterData" localSheetId="12" hidden="1">Danni!$A$1:$H$1294</definedName>
    <definedName name="Z_3239EBCD_0009_49F8_9CD4_7149DE51B97F_.wvu.PrintArea" localSheetId="1" hidden="1">'1-Баланс'!$A$1:$H$109</definedName>
    <definedName name="Z_3239EBCD_0009_49F8_9CD4_7149DE51B97F_.wvu.PrintArea" localSheetId="2" hidden="1">'2-Отчет за доходите'!$A$1:$H$61</definedName>
    <definedName name="Z_3239EBCD_0009_49F8_9CD4_7149DE51B97F_.wvu.PrintArea" localSheetId="4" hidden="1">'4-Отчет за собствения капитал'!$A$1:$M$49</definedName>
    <definedName name="Z_3239EBCD_0009_49F8_9CD4_7149DE51B97F_.wvu.PrintArea" localSheetId="10" hidden="1">Контроли!$A$1:$G$15</definedName>
    <definedName name="Z_3239EBCD_0009_49F8_9CD4_7149DE51B97F_.wvu.PrintArea" localSheetId="0" hidden="1">Начална!$A$1:$B$29</definedName>
    <definedName name="Z_3239EBCD_0009_49F8_9CD4_7149DE51B97F_.wvu.PrintArea" localSheetId="11" hidden="1">Показатели!$A$1:$D$24</definedName>
    <definedName name="Z_3239EBCD_0009_49F8_9CD4_7149DE51B97F_.wvu.PrintArea" localSheetId="5" hidden="1">'Справка 6'!$A$1:$R$56</definedName>
    <definedName name="Z_3239EBCD_0009_49F8_9CD4_7149DE51B97F_.wvu.PrintTitles" localSheetId="1" hidden="1">'1-Баланс'!$9:$9</definedName>
    <definedName name="Z_427CF8A1_2C6C_4A94_A137_1BA25F994955_.wvu.FilterData" localSheetId="3" hidden="1">'3-Отчет за паричния поток'!$A$9:$D$48</definedName>
    <definedName name="Z_D5A9973C_5346_486A_9057_6F44650CE612_.wvu.FilterData" localSheetId="3" hidden="1">'3-Отчет за паричния поток'!$A$9:$D$48</definedName>
    <definedName name="Z_D5A9973C_5346_486A_9057_6F44650CE612_.wvu.FilterData" localSheetId="12" hidden="1">Danni!$A$1:$H$1294</definedName>
    <definedName name="Z_D5A9973C_5346_486A_9057_6F44650CE612_.wvu.PrintArea" localSheetId="1" hidden="1">'1-Баланс'!$A$1:$H$109</definedName>
    <definedName name="Z_D5A9973C_5346_486A_9057_6F44650CE612_.wvu.PrintArea" localSheetId="2" hidden="1">'2-Отчет за доходите'!$A$1:$H$61</definedName>
    <definedName name="Z_D5A9973C_5346_486A_9057_6F44650CE612_.wvu.PrintArea" localSheetId="4" hidden="1">'4-Отчет за собствения капитал'!$A$1:$M$49</definedName>
    <definedName name="Z_D5A9973C_5346_486A_9057_6F44650CE612_.wvu.PrintArea" localSheetId="10" hidden="1">Контроли!$A$1:$G$15</definedName>
    <definedName name="Z_D5A9973C_5346_486A_9057_6F44650CE612_.wvu.PrintArea" localSheetId="0" hidden="1">Начална!$A$1:$B$29</definedName>
    <definedName name="Z_D5A9973C_5346_486A_9057_6F44650CE612_.wvu.PrintArea" localSheetId="11" hidden="1">Показатели!$A$1:$D$24</definedName>
    <definedName name="Z_D5A9973C_5346_486A_9057_6F44650CE612_.wvu.PrintArea" localSheetId="5" hidden="1">'Справка 6'!$A$1:$R$56</definedName>
    <definedName name="Z_D5A9973C_5346_486A_9057_6F44650CE612_.wvu.PrintTitles" localSheetId="1" hidden="1">'1-Баланс'!$9:$9</definedName>
  </definedNames>
  <calcPr calcId="191029"/>
  <customWorkbookViews>
    <customWorkbookView name="Lyudmila Bondzhova - Personal View" guid="{3239EBCD-0009-49F8-9CD4-7149DE51B97F}" mergeInterval="0" personalView="1" maximized="1" xWindow="-8" yWindow="-8" windowWidth="1936" windowHeight="1056" activeSheetId="5"/>
    <customWorkbookView name="Antoaneta Ivanova Todorova - Personal View" guid="{23BEE295-D922-43C3-8F5E-52A6C7961032}" mergeInterval="0" personalView="1" maximized="1" xWindow="-9" yWindow="-9" windowWidth="1938" windowHeight="1048" tabRatio="814" activeSheetId="4"/>
    <customWorkbookView name="Vladimir Papazov - Personal View" guid="{D5A9973C-5346-486A-9057-6F44650CE612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7" l="1"/>
  <c r="B36" i="10" l="1"/>
  <c r="B36" i="9"/>
  <c r="B36" i="8"/>
  <c r="B116" i="7"/>
  <c r="C50" i="6"/>
  <c r="B43" i="5"/>
  <c r="B59" i="4"/>
  <c r="B55" i="3"/>
  <c r="B103" i="2" l="1"/>
  <c r="H27" i="10" l="1"/>
  <c r="G27" i="10"/>
  <c r="I27" i="10" s="1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H27" i="9"/>
  <c r="G27" i="9"/>
  <c r="F27" i="9"/>
  <c r="I27" i="9" s="1"/>
  <c r="E27" i="9"/>
  <c r="D27" i="9"/>
  <c r="C27" i="9"/>
  <c r="I26" i="9"/>
  <c r="I25" i="9"/>
  <c r="I24" i="9"/>
  <c r="I23" i="9"/>
  <c r="I22" i="9"/>
  <c r="I21" i="9"/>
  <c r="I20" i="9"/>
  <c r="H18" i="9"/>
  <c r="G18" i="9"/>
  <c r="E18" i="9"/>
  <c r="D18" i="9"/>
  <c r="C18" i="9"/>
  <c r="I17" i="9"/>
  <c r="I16" i="9"/>
  <c r="I15" i="9"/>
  <c r="I14" i="9"/>
  <c r="A4" i="9"/>
  <c r="A3" i="9"/>
  <c r="I18" i="10" l="1"/>
  <c r="F18" i="9"/>
  <c r="I18" i="9" s="1"/>
  <c r="I13" i="9"/>
  <c r="AA3" i="1" l="1"/>
  <c r="B33" i="10" s="1"/>
  <c r="AA2" i="1"/>
  <c r="B31" i="10" s="1"/>
  <c r="AA1" i="1"/>
  <c r="C246" i="13" s="1"/>
  <c r="H8" i="13"/>
  <c r="A2" i="11"/>
  <c r="E14" i="11"/>
  <c r="E13" i="11"/>
  <c r="C15" i="11"/>
  <c r="C14" i="11"/>
  <c r="C13" i="11"/>
  <c r="C12" i="11"/>
  <c r="E9" i="11"/>
  <c r="C8" i="11"/>
  <c r="B1294" i="13"/>
  <c r="B1293" i="13"/>
  <c r="B1292" i="13"/>
  <c r="B1291" i="13"/>
  <c r="B1290" i="13"/>
  <c r="B1289" i="13"/>
  <c r="B1288" i="13"/>
  <c r="B1287" i="13"/>
  <c r="B1286" i="13"/>
  <c r="B1285" i="13"/>
  <c r="B1284" i="13"/>
  <c r="B1283" i="13"/>
  <c r="B1282" i="13"/>
  <c r="B1281" i="13"/>
  <c r="B1280" i="13"/>
  <c r="B1279" i="13"/>
  <c r="B1278" i="13"/>
  <c r="B1277" i="13"/>
  <c r="B1276" i="13"/>
  <c r="B1275" i="13"/>
  <c r="B1274" i="13"/>
  <c r="B1273" i="13"/>
  <c r="B1272" i="13"/>
  <c r="B1271" i="13"/>
  <c r="B1270" i="13"/>
  <c r="B1269" i="13"/>
  <c r="B1268" i="13"/>
  <c r="B1267" i="13"/>
  <c r="B1266" i="13"/>
  <c r="B1265" i="13"/>
  <c r="B1264" i="13"/>
  <c r="B1263" i="13"/>
  <c r="B1262" i="13"/>
  <c r="B1261" i="13"/>
  <c r="B1260" i="13"/>
  <c r="B1259" i="13"/>
  <c r="B1258" i="13"/>
  <c r="B1257" i="13"/>
  <c r="B1256" i="13"/>
  <c r="B1255" i="13"/>
  <c r="B1254" i="13"/>
  <c r="B1253" i="13"/>
  <c r="B1252" i="13"/>
  <c r="B1251" i="13"/>
  <c r="B1250" i="13"/>
  <c r="B1249" i="13"/>
  <c r="B1248" i="13"/>
  <c r="B1247" i="13"/>
  <c r="B1246" i="13"/>
  <c r="B1245" i="13"/>
  <c r="B1244" i="13"/>
  <c r="B1243" i="13"/>
  <c r="B1242" i="13"/>
  <c r="B1241" i="13"/>
  <c r="B1240" i="13"/>
  <c r="B1239" i="13"/>
  <c r="B1238" i="13"/>
  <c r="B1237" i="13"/>
  <c r="B1236" i="13"/>
  <c r="B1235" i="13"/>
  <c r="B1234" i="13"/>
  <c r="B1233" i="13"/>
  <c r="B1232" i="13"/>
  <c r="B1231" i="13"/>
  <c r="B1230" i="13"/>
  <c r="B1229" i="13"/>
  <c r="B1228" i="13"/>
  <c r="B1227" i="13"/>
  <c r="B1226" i="13"/>
  <c r="B1225" i="13"/>
  <c r="B1224" i="13"/>
  <c r="B1223" i="13"/>
  <c r="B1222" i="13"/>
  <c r="B1221" i="13"/>
  <c r="B1220" i="13"/>
  <c r="B1219" i="13"/>
  <c r="B1218" i="13"/>
  <c r="B1217" i="13"/>
  <c r="B1216" i="13"/>
  <c r="B1215" i="13"/>
  <c r="B1214" i="13"/>
  <c r="B1213" i="13"/>
  <c r="B1212" i="13"/>
  <c r="B1211" i="13"/>
  <c r="B1210" i="13"/>
  <c r="B1209" i="13"/>
  <c r="B1208" i="13"/>
  <c r="B1207" i="13"/>
  <c r="B1206" i="13"/>
  <c r="B1205" i="13"/>
  <c r="B1204" i="13"/>
  <c r="B1203" i="13"/>
  <c r="B1202" i="13"/>
  <c r="B1201" i="13"/>
  <c r="B1200" i="13"/>
  <c r="B1199" i="13"/>
  <c r="B1198" i="13"/>
  <c r="B1197" i="13"/>
  <c r="B1195" i="13"/>
  <c r="B1194" i="13"/>
  <c r="B1193" i="13"/>
  <c r="B1192" i="13"/>
  <c r="B1191" i="13"/>
  <c r="B1190" i="13"/>
  <c r="B1189" i="13"/>
  <c r="B1188" i="13"/>
  <c r="B1187" i="13"/>
  <c r="B1186" i="13"/>
  <c r="B1185" i="13"/>
  <c r="B1184" i="13"/>
  <c r="B1183" i="13"/>
  <c r="B1182" i="13"/>
  <c r="B1181" i="13"/>
  <c r="B1180" i="13"/>
  <c r="B1179" i="13"/>
  <c r="B1178" i="13"/>
  <c r="B1177" i="13"/>
  <c r="B1176" i="13"/>
  <c r="B1175" i="13"/>
  <c r="B1174" i="13"/>
  <c r="B1173" i="13"/>
  <c r="B1172" i="13"/>
  <c r="B1171" i="13"/>
  <c r="B1170" i="13"/>
  <c r="B1169" i="13"/>
  <c r="B1168" i="13"/>
  <c r="B1167" i="13"/>
  <c r="B1166" i="13"/>
  <c r="B1165" i="13"/>
  <c r="B1164" i="13"/>
  <c r="B1163" i="13"/>
  <c r="B1162" i="13"/>
  <c r="B1161" i="13"/>
  <c r="B1160" i="13"/>
  <c r="B1159" i="13"/>
  <c r="B1158" i="13"/>
  <c r="B1157" i="13"/>
  <c r="B1156" i="13"/>
  <c r="B1155" i="13"/>
  <c r="B1154" i="13"/>
  <c r="B1153" i="13"/>
  <c r="B1152" i="13"/>
  <c r="B1151" i="13"/>
  <c r="B1150" i="13"/>
  <c r="B1149" i="13"/>
  <c r="B1148" i="13"/>
  <c r="B1147" i="13"/>
  <c r="B1146" i="13"/>
  <c r="B1145" i="13"/>
  <c r="B1144" i="13"/>
  <c r="B1143" i="13"/>
  <c r="B1142" i="13"/>
  <c r="B1141" i="13"/>
  <c r="B1140" i="13"/>
  <c r="B1139" i="13"/>
  <c r="B1138" i="13"/>
  <c r="B1137" i="13"/>
  <c r="B1136" i="13"/>
  <c r="B1135" i="13"/>
  <c r="B1134" i="13"/>
  <c r="B1133" i="13"/>
  <c r="B1132" i="13"/>
  <c r="B1131" i="13"/>
  <c r="B1130" i="13"/>
  <c r="B1129" i="13"/>
  <c r="B1128" i="13"/>
  <c r="B1127" i="13"/>
  <c r="B1126" i="13"/>
  <c r="B1125" i="13"/>
  <c r="B1124" i="13"/>
  <c r="B1123" i="13"/>
  <c r="B1122" i="13"/>
  <c r="B1121" i="13"/>
  <c r="B1120" i="13"/>
  <c r="B1119" i="13"/>
  <c r="B1118" i="13"/>
  <c r="B1117" i="13"/>
  <c r="B1116" i="13"/>
  <c r="B1115" i="13"/>
  <c r="B1114" i="13"/>
  <c r="B1113" i="13"/>
  <c r="B1112" i="13"/>
  <c r="B1111" i="13"/>
  <c r="B1110" i="13"/>
  <c r="B1109" i="13"/>
  <c r="B1108" i="13"/>
  <c r="B1107" i="13"/>
  <c r="B1106" i="13"/>
  <c r="B1105" i="13"/>
  <c r="B1104" i="13"/>
  <c r="B1103" i="13"/>
  <c r="B1102" i="13"/>
  <c r="B1101" i="13"/>
  <c r="B1100" i="13"/>
  <c r="B1099" i="13"/>
  <c r="B1098" i="13"/>
  <c r="B1097" i="13"/>
  <c r="B1096" i="13"/>
  <c r="B1095" i="13"/>
  <c r="B1094" i="13"/>
  <c r="B1093" i="13"/>
  <c r="B1092" i="13"/>
  <c r="B1091" i="13"/>
  <c r="B1090" i="13"/>
  <c r="B1089" i="13"/>
  <c r="B1088" i="13"/>
  <c r="B1087" i="13"/>
  <c r="B1086" i="13"/>
  <c r="B1085" i="13"/>
  <c r="B1084" i="13"/>
  <c r="B1083" i="13"/>
  <c r="B1082" i="13"/>
  <c r="B1081" i="13"/>
  <c r="B1080" i="13"/>
  <c r="B1079" i="13"/>
  <c r="B1078" i="13"/>
  <c r="B1077" i="13"/>
  <c r="B1076" i="13"/>
  <c r="B1075" i="13"/>
  <c r="B1074" i="13"/>
  <c r="B1073" i="13"/>
  <c r="B1072" i="13"/>
  <c r="B1071" i="13"/>
  <c r="B1070" i="13"/>
  <c r="B1069" i="13"/>
  <c r="B1068" i="13"/>
  <c r="B1067" i="13"/>
  <c r="B1066" i="13"/>
  <c r="B1065" i="13"/>
  <c r="B1064" i="13"/>
  <c r="B1063" i="13"/>
  <c r="B1062" i="13"/>
  <c r="B1061" i="13"/>
  <c r="B1060" i="13"/>
  <c r="B1059" i="13"/>
  <c r="B1058" i="13"/>
  <c r="B1057" i="13"/>
  <c r="B1056" i="13"/>
  <c r="B1055" i="13"/>
  <c r="B1054" i="13"/>
  <c r="B1053" i="13"/>
  <c r="B1052" i="13"/>
  <c r="B1051" i="13"/>
  <c r="B1050" i="13"/>
  <c r="B1049" i="13"/>
  <c r="B1048" i="13"/>
  <c r="B1047" i="13"/>
  <c r="B1046" i="13"/>
  <c r="B1045" i="13"/>
  <c r="B1044" i="13"/>
  <c r="B1043" i="13"/>
  <c r="B1042" i="13"/>
  <c r="B1041" i="13"/>
  <c r="B1040" i="13"/>
  <c r="B1039" i="13"/>
  <c r="B1038" i="13"/>
  <c r="B1037" i="13"/>
  <c r="B1036" i="13"/>
  <c r="B1035" i="13"/>
  <c r="B1034" i="13"/>
  <c r="B1033" i="13"/>
  <c r="B1032" i="13"/>
  <c r="B1031" i="13"/>
  <c r="B1030" i="13"/>
  <c r="B1029" i="13"/>
  <c r="B1028" i="13"/>
  <c r="B1027" i="13"/>
  <c r="B1026" i="13"/>
  <c r="B1025" i="13"/>
  <c r="B1024" i="13"/>
  <c r="B1023" i="13"/>
  <c r="B1022" i="13"/>
  <c r="B1021" i="13"/>
  <c r="B1020" i="13"/>
  <c r="B1019" i="13"/>
  <c r="B1018" i="13"/>
  <c r="B1017" i="13"/>
  <c r="B1016" i="13"/>
  <c r="B1015" i="13"/>
  <c r="B1014" i="13"/>
  <c r="B1013" i="13"/>
  <c r="B1012" i="13"/>
  <c r="B1011" i="13"/>
  <c r="B1010" i="13"/>
  <c r="B1009" i="13"/>
  <c r="B1008" i="13"/>
  <c r="B1007" i="13"/>
  <c r="B1006" i="13"/>
  <c r="B1005" i="13"/>
  <c r="B1004" i="13"/>
  <c r="B1003" i="13"/>
  <c r="B1002" i="13"/>
  <c r="B1001" i="13"/>
  <c r="B1000" i="13"/>
  <c r="B999" i="13"/>
  <c r="B998" i="13"/>
  <c r="B997" i="13"/>
  <c r="B996" i="13"/>
  <c r="B995" i="13"/>
  <c r="B994" i="13"/>
  <c r="B993" i="13"/>
  <c r="B992" i="13"/>
  <c r="B991" i="13"/>
  <c r="B990" i="13"/>
  <c r="B989" i="13"/>
  <c r="B988" i="13"/>
  <c r="B987" i="13"/>
  <c r="B986" i="13"/>
  <c r="B985" i="13"/>
  <c r="B984" i="13"/>
  <c r="B983" i="13"/>
  <c r="B982" i="13"/>
  <c r="B981" i="13"/>
  <c r="B980" i="13"/>
  <c r="B979" i="13"/>
  <c r="B978" i="13"/>
  <c r="B977" i="13"/>
  <c r="B976" i="13"/>
  <c r="B975" i="13"/>
  <c r="B974" i="13"/>
  <c r="B973" i="13"/>
  <c r="B972" i="13"/>
  <c r="B971" i="13"/>
  <c r="B970" i="13"/>
  <c r="B969" i="13"/>
  <c r="B968" i="13"/>
  <c r="B967" i="13"/>
  <c r="B966" i="13"/>
  <c r="B965" i="13"/>
  <c r="B964" i="13"/>
  <c r="B963" i="13"/>
  <c r="B962" i="13"/>
  <c r="B961" i="13"/>
  <c r="B960" i="13"/>
  <c r="B959" i="13"/>
  <c r="B958" i="13"/>
  <c r="B957" i="13"/>
  <c r="B956" i="13"/>
  <c r="B955" i="13"/>
  <c r="B954" i="13"/>
  <c r="B953" i="13"/>
  <c r="B952" i="13"/>
  <c r="B951" i="13"/>
  <c r="B950" i="13"/>
  <c r="B949" i="13"/>
  <c r="B948" i="13"/>
  <c r="B947" i="13"/>
  <c r="B946" i="13"/>
  <c r="B945" i="13"/>
  <c r="B944" i="13"/>
  <c r="B943" i="13"/>
  <c r="B942" i="13"/>
  <c r="B941" i="13"/>
  <c r="B940" i="13"/>
  <c r="B939" i="13"/>
  <c r="B938" i="13"/>
  <c r="B937" i="13"/>
  <c r="B936" i="13"/>
  <c r="B935" i="13"/>
  <c r="B934" i="13"/>
  <c r="B933" i="13"/>
  <c r="B932" i="13"/>
  <c r="B931" i="13"/>
  <c r="B930" i="13"/>
  <c r="B929" i="13"/>
  <c r="B928" i="13"/>
  <c r="B927" i="13"/>
  <c r="B926" i="13"/>
  <c r="B925" i="13"/>
  <c r="B924" i="13"/>
  <c r="B923" i="13"/>
  <c r="B922" i="13"/>
  <c r="B921" i="13"/>
  <c r="B920" i="13"/>
  <c r="B919" i="13"/>
  <c r="B918" i="13"/>
  <c r="B917" i="13"/>
  <c r="B916" i="13"/>
  <c r="B915" i="13"/>
  <c r="B914" i="13"/>
  <c r="B913" i="13"/>
  <c r="B912" i="13"/>
  <c r="B910" i="13"/>
  <c r="B909" i="13"/>
  <c r="B908" i="13"/>
  <c r="B907" i="13"/>
  <c r="B906" i="13"/>
  <c r="B905" i="13"/>
  <c r="B904" i="13"/>
  <c r="B903" i="13"/>
  <c r="B902" i="13"/>
  <c r="B901" i="13"/>
  <c r="B900" i="13"/>
  <c r="B899" i="13"/>
  <c r="B898" i="13"/>
  <c r="B897" i="13"/>
  <c r="B896" i="13"/>
  <c r="B895" i="13"/>
  <c r="B894" i="13"/>
  <c r="B893" i="13"/>
  <c r="B892" i="13"/>
  <c r="B891" i="13"/>
  <c r="B890" i="13"/>
  <c r="B889" i="13"/>
  <c r="B888" i="13"/>
  <c r="B887" i="13"/>
  <c r="B886" i="13"/>
  <c r="B885" i="13"/>
  <c r="B884" i="13"/>
  <c r="B883" i="13"/>
  <c r="B882" i="13"/>
  <c r="B881" i="13"/>
  <c r="B880" i="13"/>
  <c r="B879" i="13"/>
  <c r="B878" i="13"/>
  <c r="B877" i="13"/>
  <c r="B876" i="13"/>
  <c r="B875" i="13"/>
  <c r="B874" i="13"/>
  <c r="B873" i="13"/>
  <c r="B872" i="13"/>
  <c r="B871" i="13"/>
  <c r="B870" i="13"/>
  <c r="B869" i="13"/>
  <c r="B868" i="13"/>
  <c r="B867" i="13"/>
  <c r="B866" i="13"/>
  <c r="B865" i="13"/>
  <c r="B864" i="13"/>
  <c r="B863" i="13"/>
  <c r="B862" i="13"/>
  <c r="B861" i="13"/>
  <c r="B860" i="13"/>
  <c r="B859" i="13"/>
  <c r="B858" i="13"/>
  <c r="B857" i="13"/>
  <c r="B856" i="13"/>
  <c r="B855" i="13"/>
  <c r="B854" i="13"/>
  <c r="B853" i="13"/>
  <c r="B852" i="13"/>
  <c r="B851" i="13"/>
  <c r="B850" i="13"/>
  <c r="B849" i="13"/>
  <c r="B848" i="13"/>
  <c r="B847" i="13"/>
  <c r="B846" i="13"/>
  <c r="B845" i="13"/>
  <c r="B844" i="13"/>
  <c r="B843" i="13"/>
  <c r="B842" i="13"/>
  <c r="B841" i="13"/>
  <c r="B840" i="13"/>
  <c r="B839" i="13"/>
  <c r="B838" i="13"/>
  <c r="B837" i="13"/>
  <c r="B836" i="13"/>
  <c r="B835" i="13"/>
  <c r="B834" i="13"/>
  <c r="B833" i="13"/>
  <c r="B832" i="13"/>
  <c r="B831" i="13"/>
  <c r="B830" i="13"/>
  <c r="B829" i="13"/>
  <c r="B828" i="13"/>
  <c r="B827" i="13"/>
  <c r="B826" i="13"/>
  <c r="B825" i="13"/>
  <c r="B824" i="13"/>
  <c r="B823" i="13"/>
  <c r="B822" i="13"/>
  <c r="B821" i="13"/>
  <c r="B820" i="13"/>
  <c r="B819" i="13"/>
  <c r="B818" i="13"/>
  <c r="B817" i="13"/>
  <c r="B816" i="13"/>
  <c r="B815" i="13"/>
  <c r="B814" i="13"/>
  <c r="B813" i="13"/>
  <c r="B812" i="13"/>
  <c r="B811" i="13"/>
  <c r="B810" i="13"/>
  <c r="B809" i="13"/>
  <c r="B808" i="13"/>
  <c r="B807" i="13"/>
  <c r="B806" i="13"/>
  <c r="B805" i="13"/>
  <c r="B804" i="13"/>
  <c r="B803" i="13"/>
  <c r="B802" i="13"/>
  <c r="B801" i="13"/>
  <c r="B800" i="13"/>
  <c r="B799" i="13"/>
  <c r="B798" i="13"/>
  <c r="B797" i="13"/>
  <c r="B796" i="13"/>
  <c r="B795" i="13"/>
  <c r="B794" i="13"/>
  <c r="B793" i="13"/>
  <c r="B792" i="13"/>
  <c r="B791" i="13"/>
  <c r="B790" i="13"/>
  <c r="B789" i="13"/>
  <c r="B788" i="13"/>
  <c r="B787" i="13"/>
  <c r="B786" i="13"/>
  <c r="B785" i="13"/>
  <c r="B784" i="13"/>
  <c r="B783" i="13"/>
  <c r="B782" i="13"/>
  <c r="B781" i="13"/>
  <c r="B780" i="13"/>
  <c r="B779" i="13"/>
  <c r="B778" i="13"/>
  <c r="B777" i="13"/>
  <c r="B776" i="13"/>
  <c r="B775" i="13"/>
  <c r="B774" i="13"/>
  <c r="B773" i="13"/>
  <c r="B772" i="13"/>
  <c r="B771" i="13"/>
  <c r="B770" i="13"/>
  <c r="B769" i="13"/>
  <c r="B768" i="13"/>
  <c r="B767" i="13"/>
  <c r="B766" i="13"/>
  <c r="B765" i="13"/>
  <c r="B764" i="13"/>
  <c r="B763" i="13"/>
  <c r="B762" i="13"/>
  <c r="B761" i="13"/>
  <c r="B760" i="13"/>
  <c r="B759" i="13"/>
  <c r="B758" i="13"/>
  <c r="B757" i="13"/>
  <c r="B756" i="13"/>
  <c r="B755" i="13"/>
  <c r="B754" i="13"/>
  <c r="B753" i="13"/>
  <c r="B752" i="13"/>
  <c r="B751" i="13"/>
  <c r="B750" i="13"/>
  <c r="B749" i="13"/>
  <c r="B748" i="13"/>
  <c r="B747" i="13"/>
  <c r="B746" i="13"/>
  <c r="B745" i="13"/>
  <c r="B744" i="13"/>
  <c r="B743" i="13"/>
  <c r="B742" i="13"/>
  <c r="B741" i="13"/>
  <c r="B740" i="13"/>
  <c r="B739" i="13"/>
  <c r="B738" i="13"/>
  <c r="B737" i="13"/>
  <c r="B736" i="13"/>
  <c r="B735" i="13"/>
  <c r="B734" i="13"/>
  <c r="B733" i="13"/>
  <c r="B732" i="13"/>
  <c r="B731" i="13"/>
  <c r="B730" i="13"/>
  <c r="B729" i="13"/>
  <c r="B728" i="13"/>
  <c r="B727" i="13"/>
  <c r="B726" i="13"/>
  <c r="B725" i="13"/>
  <c r="B724" i="13"/>
  <c r="B723" i="13"/>
  <c r="B722" i="13"/>
  <c r="B721" i="13"/>
  <c r="B720" i="13"/>
  <c r="B719" i="13"/>
  <c r="B718" i="13"/>
  <c r="B717" i="13"/>
  <c r="B716" i="13"/>
  <c r="B715" i="13"/>
  <c r="B714" i="13"/>
  <c r="B713" i="13"/>
  <c r="B712" i="13"/>
  <c r="B711" i="13"/>
  <c r="B710" i="13"/>
  <c r="B709" i="13"/>
  <c r="B708" i="13"/>
  <c r="B707" i="13"/>
  <c r="B706" i="13"/>
  <c r="B705" i="13"/>
  <c r="B704" i="13"/>
  <c r="B703" i="13"/>
  <c r="B702" i="13"/>
  <c r="B701" i="13"/>
  <c r="B700" i="13"/>
  <c r="B699" i="13"/>
  <c r="B698" i="13"/>
  <c r="B697" i="13"/>
  <c r="B696" i="13"/>
  <c r="B695" i="13"/>
  <c r="B694" i="13"/>
  <c r="B693" i="13"/>
  <c r="B692" i="13"/>
  <c r="B691" i="13"/>
  <c r="B690" i="13"/>
  <c r="B689" i="13"/>
  <c r="B688" i="13"/>
  <c r="B687" i="13"/>
  <c r="B686" i="13"/>
  <c r="B685" i="13"/>
  <c r="B684" i="13"/>
  <c r="B683" i="13"/>
  <c r="B682" i="13"/>
  <c r="B681" i="13"/>
  <c r="B680" i="13"/>
  <c r="B679" i="13"/>
  <c r="B678" i="13"/>
  <c r="B677" i="13"/>
  <c r="B676" i="13"/>
  <c r="B675" i="13"/>
  <c r="B674" i="13"/>
  <c r="B673" i="13"/>
  <c r="B672" i="13"/>
  <c r="B671" i="13"/>
  <c r="B670" i="13"/>
  <c r="B669" i="13"/>
  <c r="B668" i="13"/>
  <c r="B667" i="13"/>
  <c r="B666" i="13"/>
  <c r="B665" i="13"/>
  <c r="B664" i="13"/>
  <c r="B663" i="13"/>
  <c r="B662" i="13"/>
  <c r="B661" i="13"/>
  <c r="B660" i="13"/>
  <c r="B659" i="13"/>
  <c r="B658" i="13"/>
  <c r="B657" i="13"/>
  <c r="B656" i="13"/>
  <c r="B655" i="13"/>
  <c r="B654" i="13"/>
  <c r="B653" i="13"/>
  <c r="B652" i="13"/>
  <c r="B651" i="13"/>
  <c r="B650" i="13"/>
  <c r="B649" i="13"/>
  <c r="B648" i="13"/>
  <c r="B647" i="13"/>
  <c r="B646" i="13"/>
  <c r="B645" i="13"/>
  <c r="B644" i="13"/>
  <c r="B643" i="13"/>
  <c r="B642" i="13"/>
  <c r="B641" i="13"/>
  <c r="B640" i="13"/>
  <c r="B639" i="13"/>
  <c r="B638" i="13"/>
  <c r="B637" i="13"/>
  <c r="B636" i="13"/>
  <c r="B635" i="13"/>
  <c r="B634" i="13"/>
  <c r="B633" i="13"/>
  <c r="B632" i="13"/>
  <c r="B631" i="13"/>
  <c r="B630" i="13"/>
  <c r="B629" i="13"/>
  <c r="B628" i="13"/>
  <c r="B627" i="13"/>
  <c r="B626" i="13"/>
  <c r="B625" i="13"/>
  <c r="B624" i="13"/>
  <c r="B623" i="13"/>
  <c r="B622" i="13"/>
  <c r="B621" i="13"/>
  <c r="B620" i="13"/>
  <c r="B619" i="13"/>
  <c r="B618" i="13"/>
  <c r="B617" i="13"/>
  <c r="B616" i="13"/>
  <c r="B615" i="13"/>
  <c r="B614" i="13"/>
  <c r="B613" i="13"/>
  <c r="B612" i="13"/>
  <c r="B611" i="13"/>
  <c r="B610" i="13"/>
  <c r="B609" i="13"/>
  <c r="B608" i="13"/>
  <c r="B607" i="13"/>
  <c r="B606" i="13"/>
  <c r="B605" i="13"/>
  <c r="B604" i="13"/>
  <c r="B603" i="13"/>
  <c r="B602" i="13"/>
  <c r="B601" i="13"/>
  <c r="B600" i="13"/>
  <c r="B599" i="13"/>
  <c r="B598" i="13"/>
  <c r="B597" i="13"/>
  <c r="B596" i="13"/>
  <c r="B595" i="13"/>
  <c r="B594" i="13"/>
  <c r="B593" i="13"/>
  <c r="B592" i="13"/>
  <c r="B591" i="13"/>
  <c r="B590" i="13"/>
  <c r="B589" i="13"/>
  <c r="B588" i="13"/>
  <c r="B587" i="13"/>
  <c r="B586" i="13"/>
  <c r="B585" i="13"/>
  <c r="B584" i="13"/>
  <c r="B583" i="13"/>
  <c r="B582" i="13"/>
  <c r="B581" i="13"/>
  <c r="B580" i="13"/>
  <c r="B579" i="13"/>
  <c r="B578" i="13"/>
  <c r="B577" i="13"/>
  <c r="B576" i="13"/>
  <c r="B575" i="13"/>
  <c r="B574" i="13"/>
  <c r="B573" i="13"/>
  <c r="B572" i="13"/>
  <c r="B571" i="13"/>
  <c r="B570" i="13"/>
  <c r="B569" i="13"/>
  <c r="B568" i="13"/>
  <c r="B567" i="13"/>
  <c r="B566" i="13"/>
  <c r="B565" i="13"/>
  <c r="B564" i="13"/>
  <c r="B563" i="13"/>
  <c r="B562" i="13"/>
  <c r="B561" i="13"/>
  <c r="B560" i="13"/>
  <c r="B559" i="13"/>
  <c r="B558" i="13"/>
  <c r="B557" i="13"/>
  <c r="B556" i="13"/>
  <c r="B555" i="13"/>
  <c r="B554" i="13"/>
  <c r="B553" i="13"/>
  <c r="B552" i="13"/>
  <c r="B551" i="13"/>
  <c r="B550" i="13"/>
  <c r="B549" i="13"/>
  <c r="B548" i="13"/>
  <c r="B547" i="13"/>
  <c r="B546" i="13"/>
  <c r="B545" i="13"/>
  <c r="B544" i="13"/>
  <c r="B543" i="13"/>
  <c r="B542" i="13"/>
  <c r="B541" i="13"/>
  <c r="B540" i="13"/>
  <c r="B539" i="13"/>
  <c r="B538" i="13"/>
  <c r="B537" i="13"/>
  <c r="B536" i="13"/>
  <c r="B535" i="13"/>
  <c r="B534" i="13"/>
  <c r="B533" i="13"/>
  <c r="B532" i="13"/>
  <c r="B531" i="13"/>
  <c r="B530" i="13"/>
  <c r="B529" i="13"/>
  <c r="B528" i="13"/>
  <c r="B527" i="13"/>
  <c r="B526" i="13"/>
  <c r="B525" i="13"/>
  <c r="B524" i="13"/>
  <c r="B523" i="13"/>
  <c r="B522" i="13"/>
  <c r="B521" i="13"/>
  <c r="B520" i="13"/>
  <c r="B519" i="13"/>
  <c r="B518" i="13"/>
  <c r="B517" i="13"/>
  <c r="B516" i="13"/>
  <c r="B515" i="13"/>
  <c r="B514" i="13"/>
  <c r="B513" i="13"/>
  <c r="B512" i="13"/>
  <c r="B511" i="13"/>
  <c r="B510" i="13"/>
  <c r="B509" i="13"/>
  <c r="B508" i="13"/>
  <c r="B507" i="13"/>
  <c r="B506" i="13"/>
  <c r="B505" i="13"/>
  <c r="B504" i="13"/>
  <c r="B503" i="13"/>
  <c r="B502" i="13"/>
  <c r="B501" i="13"/>
  <c r="B500" i="13"/>
  <c r="B499" i="13"/>
  <c r="B498" i="13"/>
  <c r="B497" i="13"/>
  <c r="B496" i="13"/>
  <c r="B495" i="13"/>
  <c r="B494" i="13"/>
  <c r="B493" i="13"/>
  <c r="B492" i="13"/>
  <c r="B491" i="13"/>
  <c r="B490" i="13"/>
  <c r="B489" i="13"/>
  <c r="B488" i="13"/>
  <c r="B487" i="13"/>
  <c r="B486" i="13"/>
  <c r="B485" i="13"/>
  <c r="B484" i="13"/>
  <c r="B483" i="13"/>
  <c r="B482" i="13"/>
  <c r="B481" i="13"/>
  <c r="B480" i="13"/>
  <c r="B479" i="13"/>
  <c r="B478" i="13"/>
  <c r="B477" i="13"/>
  <c r="B476" i="13"/>
  <c r="B475" i="13"/>
  <c r="B474" i="13"/>
  <c r="B473" i="13"/>
  <c r="B472" i="13"/>
  <c r="B471" i="13"/>
  <c r="B470" i="13"/>
  <c r="B469" i="13"/>
  <c r="B468" i="13"/>
  <c r="B467" i="13"/>
  <c r="B466" i="13"/>
  <c r="B465" i="13"/>
  <c r="B464" i="13"/>
  <c r="B463" i="13"/>
  <c r="B462" i="13"/>
  <c r="B461" i="13"/>
  <c r="B459" i="13"/>
  <c r="B458" i="13"/>
  <c r="B457" i="13"/>
  <c r="B456" i="13"/>
  <c r="B455" i="13"/>
  <c r="B454" i="13"/>
  <c r="B453" i="13"/>
  <c r="B452" i="13"/>
  <c r="B451" i="13"/>
  <c r="B450" i="13"/>
  <c r="B449" i="13"/>
  <c r="B448" i="13"/>
  <c r="B447" i="13"/>
  <c r="B446" i="13"/>
  <c r="B445" i="13"/>
  <c r="B444" i="13"/>
  <c r="B443" i="13"/>
  <c r="B442" i="13"/>
  <c r="B441" i="13"/>
  <c r="B440" i="13"/>
  <c r="B439" i="13"/>
  <c r="B438" i="13"/>
  <c r="B437" i="13"/>
  <c r="B436" i="13"/>
  <c r="B435" i="13"/>
  <c r="B434" i="13"/>
  <c r="B433" i="13"/>
  <c r="B432" i="13"/>
  <c r="B431" i="13"/>
  <c r="B430" i="13"/>
  <c r="B429" i="13"/>
  <c r="B428" i="13"/>
  <c r="B427" i="13"/>
  <c r="B426" i="13"/>
  <c r="B425" i="13"/>
  <c r="B424" i="13"/>
  <c r="B423" i="13"/>
  <c r="B422" i="13"/>
  <c r="B421" i="13"/>
  <c r="B420" i="13"/>
  <c r="B419" i="13"/>
  <c r="B418" i="13"/>
  <c r="B417" i="13"/>
  <c r="B416" i="13"/>
  <c r="B415" i="13"/>
  <c r="B414" i="13"/>
  <c r="B413" i="13"/>
  <c r="B412" i="13"/>
  <c r="B411" i="13"/>
  <c r="B410" i="13"/>
  <c r="B409" i="13"/>
  <c r="B408" i="13"/>
  <c r="B407" i="13"/>
  <c r="B406" i="13"/>
  <c r="B405" i="13"/>
  <c r="B404" i="13"/>
  <c r="B403" i="13"/>
  <c r="B402" i="13"/>
  <c r="B401" i="13"/>
  <c r="B400" i="13"/>
  <c r="B399" i="13"/>
  <c r="B398" i="13"/>
  <c r="B397" i="13"/>
  <c r="B396" i="13"/>
  <c r="B395" i="13"/>
  <c r="B394" i="13"/>
  <c r="B393" i="13"/>
  <c r="B392" i="13"/>
  <c r="B391" i="13"/>
  <c r="B390" i="13"/>
  <c r="B389" i="13"/>
  <c r="B388" i="13"/>
  <c r="B387" i="13"/>
  <c r="B386" i="13"/>
  <c r="B385" i="13"/>
  <c r="B384" i="13"/>
  <c r="B383" i="13"/>
  <c r="B382" i="13"/>
  <c r="B381" i="13"/>
  <c r="B380" i="13"/>
  <c r="B379" i="13"/>
  <c r="B378" i="13"/>
  <c r="B377" i="13"/>
  <c r="B376" i="13"/>
  <c r="B375" i="13"/>
  <c r="B374" i="13"/>
  <c r="B373" i="13"/>
  <c r="B372" i="13"/>
  <c r="B371" i="13"/>
  <c r="B370" i="13"/>
  <c r="B369" i="13"/>
  <c r="B368" i="13"/>
  <c r="B367" i="13"/>
  <c r="B366" i="13"/>
  <c r="B365" i="13"/>
  <c r="B364" i="13"/>
  <c r="B363" i="13"/>
  <c r="B362" i="13"/>
  <c r="B361" i="13"/>
  <c r="B360" i="13"/>
  <c r="B359" i="13"/>
  <c r="B358" i="13"/>
  <c r="B357" i="13"/>
  <c r="B356" i="13"/>
  <c r="B355" i="13"/>
  <c r="B354" i="13"/>
  <c r="B353" i="13"/>
  <c r="B352" i="13"/>
  <c r="B351" i="13"/>
  <c r="B350" i="13"/>
  <c r="B349" i="13"/>
  <c r="B348" i="13"/>
  <c r="B347" i="13"/>
  <c r="B346" i="13"/>
  <c r="B345" i="13"/>
  <c r="B344" i="13"/>
  <c r="B343" i="13"/>
  <c r="B342" i="13"/>
  <c r="B341" i="13"/>
  <c r="B340" i="13"/>
  <c r="B339" i="13"/>
  <c r="B338" i="13"/>
  <c r="B337" i="13"/>
  <c r="B336" i="13"/>
  <c r="B335" i="13"/>
  <c r="B334" i="13"/>
  <c r="B333" i="13"/>
  <c r="B332" i="13"/>
  <c r="B331" i="13"/>
  <c r="B330" i="13"/>
  <c r="B329" i="13"/>
  <c r="B328" i="13"/>
  <c r="B327" i="13"/>
  <c r="B326" i="13"/>
  <c r="B325" i="13"/>
  <c r="B324" i="13"/>
  <c r="B323" i="13"/>
  <c r="B322" i="13"/>
  <c r="B321" i="13"/>
  <c r="B320" i="13"/>
  <c r="B319" i="13"/>
  <c r="B318" i="13"/>
  <c r="B317" i="13"/>
  <c r="B316" i="13"/>
  <c r="B315" i="13"/>
  <c r="B314" i="13"/>
  <c r="B313" i="13"/>
  <c r="B312" i="13"/>
  <c r="B311" i="13"/>
  <c r="B310" i="13"/>
  <c r="B309" i="13"/>
  <c r="B308" i="13"/>
  <c r="B307" i="13"/>
  <c r="B306" i="13"/>
  <c r="B305" i="13"/>
  <c r="B304" i="13"/>
  <c r="B303" i="13"/>
  <c r="B302" i="13"/>
  <c r="B301" i="13"/>
  <c r="B300" i="13"/>
  <c r="B299" i="13"/>
  <c r="B298" i="13"/>
  <c r="B297" i="13"/>
  <c r="B296" i="13"/>
  <c r="B295" i="13"/>
  <c r="B294" i="13"/>
  <c r="B293" i="13"/>
  <c r="B292" i="13"/>
  <c r="B291" i="13"/>
  <c r="B290" i="13"/>
  <c r="B289" i="13"/>
  <c r="B288" i="13"/>
  <c r="B287" i="13"/>
  <c r="B286" i="13"/>
  <c r="B285" i="13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A1294" i="13"/>
  <c r="A1293" i="13"/>
  <c r="A1292" i="13"/>
  <c r="A1291" i="13"/>
  <c r="A1290" i="13"/>
  <c r="A1289" i="13"/>
  <c r="A1288" i="13"/>
  <c r="A1287" i="13"/>
  <c r="A1286" i="13"/>
  <c r="A1285" i="13"/>
  <c r="A1284" i="13"/>
  <c r="A1283" i="13"/>
  <c r="A1282" i="13"/>
  <c r="A1281" i="13"/>
  <c r="A1280" i="13"/>
  <c r="A1279" i="13"/>
  <c r="A1278" i="13"/>
  <c r="A1277" i="13"/>
  <c r="A1276" i="13"/>
  <c r="A1275" i="13"/>
  <c r="A1274" i="13"/>
  <c r="A1273" i="13"/>
  <c r="A1272" i="13"/>
  <c r="A1271" i="13"/>
  <c r="A1270" i="13"/>
  <c r="A1269" i="13"/>
  <c r="A1268" i="13"/>
  <c r="A1267" i="13"/>
  <c r="A1266" i="13"/>
  <c r="A1265" i="13"/>
  <c r="A1264" i="13"/>
  <c r="A1263" i="13"/>
  <c r="A1262" i="13"/>
  <c r="A1261" i="13"/>
  <c r="A1260" i="13"/>
  <c r="A1259" i="13"/>
  <c r="A1258" i="13"/>
  <c r="A1257" i="13"/>
  <c r="A1256" i="13"/>
  <c r="A1255" i="13"/>
  <c r="A1254" i="13"/>
  <c r="A1253" i="13"/>
  <c r="A1252" i="13"/>
  <c r="A1251" i="13"/>
  <c r="A1250" i="13"/>
  <c r="A1249" i="13"/>
  <c r="A1248" i="13"/>
  <c r="A1247" i="13"/>
  <c r="A1246" i="13"/>
  <c r="A1245" i="13"/>
  <c r="A1244" i="13"/>
  <c r="A1243" i="13"/>
  <c r="A1242" i="13"/>
  <c r="A1241" i="13"/>
  <c r="A1240" i="13"/>
  <c r="A1239" i="13"/>
  <c r="A1238" i="13"/>
  <c r="A1237" i="13"/>
  <c r="A1236" i="13"/>
  <c r="A1235" i="13"/>
  <c r="A1234" i="13"/>
  <c r="A1233" i="13"/>
  <c r="A1232" i="13"/>
  <c r="A1231" i="13"/>
  <c r="A1230" i="13"/>
  <c r="A1229" i="13"/>
  <c r="A1228" i="13"/>
  <c r="A1227" i="13"/>
  <c r="A1226" i="13"/>
  <c r="A1225" i="13"/>
  <c r="A1224" i="13"/>
  <c r="A1223" i="13"/>
  <c r="A1222" i="13"/>
  <c r="A1221" i="13"/>
  <c r="A1220" i="13"/>
  <c r="A1219" i="13"/>
  <c r="A1218" i="13"/>
  <c r="A1217" i="13"/>
  <c r="A1216" i="13"/>
  <c r="A1215" i="13"/>
  <c r="A1214" i="13"/>
  <c r="A1213" i="13"/>
  <c r="A1212" i="13"/>
  <c r="A1211" i="13"/>
  <c r="A1210" i="13"/>
  <c r="A1209" i="13"/>
  <c r="A1208" i="13"/>
  <c r="A1207" i="13"/>
  <c r="A1206" i="13"/>
  <c r="A1205" i="13"/>
  <c r="A1204" i="13"/>
  <c r="A1203" i="13"/>
  <c r="A1202" i="13"/>
  <c r="A1201" i="13"/>
  <c r="A1200" i="13"/>
  <c r="A1199" i="13"/>
  <c r="A1198" i="13"/>
  <c r="A1197" i="13"/>
  <c r="A1195" i="13"/>
  <c r="A1194" i="13"/>
  <c r="A1193" i="13"/>
  <c r="A1192" i="13"/>
  <c r="A1191" i="13"/>
  <c r="A1190" i="13"/>
  <c r="A1189" i="13"/>
  <c r="A1188" i="13"/>
  <c r="A1187" i="13"/>
  <c r="A1186" i="13"/>
  <c r="A1185" i="13"/>
  <c r="A1184" i="13"/>
  <c r="A1183" i="13"/>
  <c r="A1182" i="13"/>
  <c r="A1181" i="13"/>
  <c r="A1180" i="13"/>
  <c r="A1179" i="13"/>
  <c r="A1178" i="13"/>
  <c r="A1177" i="13"/>
  <c r="A1176" i="13"/>
  <c r="A1175" i="13"/>
  <c r="A1174" i="13"/>
  <c r="A1173" i="13"/>
  <c r="A1172" i="13"/>
  <c r="A1171" i="13"/>
  <c r="A1170" i="13"/>
  <c r="A1169" i="13"/>
  <c r="A1168" i="13"/>
  <c r="A1167" i="13"/>
  <c r="A1166" i="13"/>
  <c r="A1165" i="13"/>
  <c r="A1164" i="13"/>
  <c r="A1163" i="13"/>
  <c r="A1162" i="13"/>
  <c r="A1161" i="13"/>
  <c r="A1160" i="13"/>
  <c r="A1159" i="13"/>
  <c r="A1158" i="13"/>
  <c r="A1157" i="13"/>
  <c r="A1156" i="13"/>
  <c r="A1155" i="13"/>
  <c r="A1154" i="13"/>
  <c r="A1153" i="13"/>
  <c r="A1152" i="13"/>
  <c r="A1151" i="13"/>
  <c r="A1150" i="13"/>
  <c r="A1149" i="13"/>
  <c r="A1148" i="13"/>
  <c r="A1147" i="13"/>
  <c r="A1146" i="13"/>
  <c r="A1145" i="13"/>
  <c r="A1144" i="13"/>
  <c r="A1143" i="13"/>
  <c r="A1142" i="13"/>
  <c r="A1141" i="13"/>
  <c r="A1140" i="13"/>
  <c r="A1139" i="13"/>
  <c r="A1138" i="13"/>
  <c r="A1137" i="13"/>
  <c r="A1136" i="13"/>
  <c r="A1135" i="13"/>
  <c r="A1134" i="13"/>
  <c r="A1133" i="13"/>
  <c r="A1132" i="13"/>
  <c r="A1131" i="13"/>
  <c r="A1130" i="13"/>
  <c r="A1129" i="13"/>
  <c r="A1128" i="13"/>
  <c r="A1127" i="13"/>
  <c r="A1126" i="13"/>
  <c r="A1125" i="13"/>
  <c r="A1124" i="13"/>
  <c r="A1123" i="13"/>
  <c r="A1122" i="13"/>
  <c r="A1121" i="13"/>
  <c r="A1120" i="13"/>
  <c r="A1119" i="13"/>
  <c r="A1118" i="13"/>
  <c r="A1117" i="13"/>
  <c r="A1116" i="13"/>
  <c r="A1115" i="13"/>
  <c r="A1114" i="13"/>
  <c r="A1113" i="13"/>
  <c r="A1112" i="13"/>
  <c r="A1111" i="13"/>
  <c r="A1110" i="13"/>
  <c r="A1109" i="13"/>
  <c r="A1108" i="13"/>
  <c r="A1107" i="13"/>
  <c r="A1106" i="13"/>
  <c r="A1105" i="13"/>
  <c r="A1104" i="13"/>
  <c r="A1103" i="13"/>
  <c r="A1102" i="13"/>
  <c r="A1101" i="13"/>
  <c r="A1100" i="13"/>
  <c r="A1099" i="13"/>
  <c r="A1098" i="13"/>
  <c r="A1097" i="13"/>
  <c r="A1096" i="13"/>
  <c r="A1095" i="13"/>
  <c r="A1094" i="13"/>
  <c r="A1093" i="13"/>
  <c r="A1092" i="13"/>
  <c r="A1091" i="13"/>
  <c r="A1090" i="13"/>
  <c r="A1089" i="13"/>
  <c r="A1088" i="13"/>
  <c r="A1087" i="13"/>
  <c r="A1086" i="13"/>
  <c r="A1085" i="13"/>
  <c r="A1084" i="13"/>
  <c r="A1083" i="13"/>
  <c r="A1082" i="13"/>
  <c r="A1081" i="13"/>
  <c r="A1080" i="13"/>
  <c r="A1079" i="13"/>
  <c r="A1078" i="13"/>
  <c r="A1077" i="13"/>
  <c r="A1076" i="13"/>
  <c r="A1075" i="13"/>
  <c r="A1074" i="13"/>
  <c r="A1073" i="13"/>
  <c r="A1072" i="13"/>
  <c r="A1071" i="13"/>
  <c r="A1070" i="13"/>
  <c r="A1069" i="13"/>
  <c r="A1068" i="13"/>
  <c r="A1067" i="13"/>
  <c r="A1066" i="13"/>
  <c r="A1065" i="13"/>
  <c r="A1064" i="13"/>
  <c r="A1063" i="13"/>
  <c r="A1062" i="13"/>
  <c r="A1061" i="13"/>
  <c r="A1060" i="13"/>
  <c r="A1059" i="13"/>
  <c r="A1058" i="13"/>
  <c r="A1057" i="13"/>
  <c r="A1056" i="13"/>
  <c r="A1055" i="13"/>
  <c r="A1054" i="13"/>
  <c r="A1053" i="13"/>
  <c r="A1052" i="13"/>
  <c r="A1051" i="13"/>
  <c r="A1050" i="13"/>
  <c r="A1049" i="13"/>
  <c r="A1048" i="13"/>
  <c r="A1047" i="13"/>
  <c r="A1046" i="13"/>
  <c r="A1045" i="13"/>
  <c r="A1044" i="13"/>
  <c r="A1043" i="13"/>
  <c r="A1042" i="13"/>
  <c r="A1041" i="13"/>
  <c r="A1040" i="13"/>
  <c r="A1039" i="13"/>
  <c r="A1038" i="13"/>
  <c r="A1037" i="13"/>
  <c r="A1036" i="13"/>
  <c r="A1035" i="13"/>
  <c r="A1034" i="13"/>
  <c r="A1033" i="13"/>
  <c r="A1032" i="13"/>
  <c r="A1031" i="13"/>
  <c r="A1030" i="13"/>
  <c r="A1029" i="13"/>
  <c r="A1028" i="13"/>
  <c r="A1027" i="13"/>
  <c r="A1026" i="13"/>
  <c r="A1025" i="13"/>
  <c r="A1024" i="13"/>
  <c r="A1023" i="13"/>
  <c r="A1022" i="13"/>
  <c r="A1021" i="13"/>
  <c r="A1020" i="13"/>
  <c r="A1019" i="13"/>
  <c r="A1018" i="13"/>
  <c r="A1017" i="13"/>
  <c r="A1016" i="13"/>
  <c r="A1015" i="13"/>
  <c r="A1014" i="13"/>
  <c r="A1013" i="13"/>
  <c r="A1012" i="13"/>
  <c r="A1011" i="13"/>
  <c r="A1010" i="13"/>
  <c r="A1009" i="13"/>
  <c r="A1008" i="13"/>
  <c r="A1007" i="13"/>
  <c r="A1006" i="13"/>
  <c r="A1005" i="13"/>
  <c r="A1004" i="13"/>
  <c r="A1003" i="13"/>
  <c r="A1002" i="13"/>
  <c r="A1001" i="13"/>
  <c r="A1000" i="13"/>
  <c r="A999" i="13"/>
  <c r="A998" i="13"/>
  <c r="A997" i="13"/>
  <c r="A996" i="13"/>
  <c r="A995" i="13"/>
  <c r="A994" i="13"/>
  <c r="A993" i="13"/>
  <c r="A992" i="13"/>
  <c r="A991" i="13"/>
  <c r="A990" i="13"/>
  <c r="A989" i="13"/>
  <c r="A988" i="13"/>
  <c r="A987" i="13"/>
  <c r="A986" i="13"/>
  <c r="A985" i="13"/>
  <c r="A984" i="13"/>
  <c r="A983" i="13"/>
  <c r="A982" i="13"/>
  <c r="A981" i="13"/>
  <c r="A980" i="13"/>
  <c r="A979" i="13"/>
  <c r="A978" i="13"/>
  <c r="A977" i="13"/>
  <c r="A976" i="13"/>
  <c r="A975" i="13"/>
  <c r="A974" i="13"/>
  <c r="A973" i="13"/>
  <c r="A972" i="13"/>
  <c r="A971" i="13"/>
  <c r="A970" i="13"/>
  <c r="A969" i="13"/>
  <c r="A968" i="13"/>
  <c r="A967" i="13"/>
  <c r="A966" i="13"/>
  <c r="A965" i="13"/>
  <c r="A964" i="13"/>
  <c r="A963" i="13"/>
  <c r="A962" i="13"/>
  <c r="A961" i="13"/>
  <c r="A960" i="13"/>
  <c r="A959" i="13"/>
  <c r="A958" i="13"/>
  <c r="A957" i="13"/>
  <c r="A956" i="13"/>
  <c r="A955" i="13"/>
  <c r="A954" i="13"/>
  <c r="A953" i="13"/>
  <c r="A952" i="13"/>
  <c r="A951" i="13"/>
  <c r="A950" i="13"/>
  <c r="A949" i="13"/>
  <c r="A948" i="13"/>
  <c r="A947" i="13"/>
  <c r="A946" i="13"/>
  <c r="A945" i="13"/>
  <c r="A944" i="13"/>
  <c r="A943" i="13"/>
  <c r="A942" i="13"/>
  <c r="A941" i="13"/>
  <c r="A940" i="13"/>
  <c r="A939" i="13"/>
  <c r="A938" i="13"/>
  <c r="A937" i="13"/>
  <c r="A936" i="13"/>
  <c r="A935" i="13"/>
  <c r="A934" i="13"/>
  <c r="A933" i="13"/>
  <c r="A932" i="13"/>
  <c r="A931" i="13"/>
  <c r="A930" i="13"/>
  <c r="A929" i="13"/>
  <c r="A928" i="13"/>
  <c r="A927" i="13"/>
  <c r="A926" i="13"/>
  <c r="A925" i="13"/>
  <c r="A924" i="13"/>
  <c r="A923" i="13"/>
  <c r="A922" i="13"/>
  <c r="A921" i="13"/>
  <c r="A920" i="13"/>
  <c r="A919" i="13"/>
  <c r="A918" i="13"/>
  <c r="A917" i="13"/>
  <c r="A916" i="13"/>
  <c r="A915" i="13"/>
  <c r="A914" i="13"/>
  <c r="A913" i="13"/>
  <c r="A912" i="13"/>
  <c r="A910" i="13"/>
  <c r="A909" i="13"/>
  <c r="A908" i="13"/>
  <c r="A907" i="13"/>
  <c r="A906" i="13"/>
  <c r="A905" i="13"/>
  <c r="A904" i="13"/>
  <c r="A903" i="13"/>
  <c r="A902" i="13"/>
  <c r="A901" i="13"/>
  <c r="A900" i="13"/>
  <c r="A899" i="13"/>
  <c r="A898" i="13"/>
  <c r="A897" i="13"/>
  <c r="A896" i="13"/>
  <c r="A895" i="13"/>
  <c r="A894" i="13"/>
  <c r="A893" i="13"/>
  <c r="A892" i="13"/>
  <c r="A891" i="13"/>
  <c r="A890" i="13"/>
  <c r="A889" i="13"/>
  <c r="A888" i="13"/>
  <c r="A887" i="13"/>
  <c r="A886" i="13"/>
  <c r="A885" i="13"/>
  <c r="A884" i="13"/>
  <c r="A883" i="13"/>
  <c r="A882" i="13"/>
  <c r="A881" i="13"/>
  <c r="A880" i="13"/>
  <c r="A879" i="13"/>
  <c r="A878" i="13"/>
  <c r="A877" i="13"/>
  <c r="A876" i="13"/>
  <c r="A875" i="13"/>
  <c r="A874" i="13"/>
  <c r="A873" i="13"/>
  <c r="A872" i="13"/>
  <c r="A871" i="13"/>
  <c r="A870" i="13"/>
  <c r="A869" i="13"/>
  <c r="A868" i="13"/>
  <c r="A867" i="13"/>
  <c r="A866" i="13"/>
  <c r="A865" i="13"/>
  <c r="A864" i="13"/>
  <c r="A863" i="13"/>
  <c r="A862" i="13"/>
  <c r="A861" i="13"/>
  <c r="A860" i="13"/>
  <c r="A859" i="13"/>
  <c r="A858" i="13"/>
  <c r="A857" i="13"/>
  <c r="A856" i="13"/>
  <c r="A855" i="13"/>
  <c r="A854" i="13"/>
  <c r="A853" i="13"/>
  <c r="A852" i="13"/>
  <c r="A851" i="13"/>
  <c r="A850" i="13"/>
  <c r="A849" i="13"/>
  <c r="A848" i="13"/>
  <c r="A847" i="13"/>
  <c r="A846" i="13"/>
  <c r="A845" i="13"/>
  <c r="A844" i="13"/>
  <c r="A843" i="13"/>
  <c r="A842" i="13"/>
  <c r="A841" i="13"/>
  <c r="A840" i="13"/>
  <c r="A839" i="13"/>
  <c r="A838" i="13"/>
  <c r="A837" i="13"/>
  <c r="A836" i="13"/>
  <c r="A835" i="13"/>
  <c r="A834" i="13"/>
  <c r="A833" i="13"/>
  <c r="A832" i="13"/>
  <c r="A831" i="13"/>
  <c r="A830" i="13"/>
  <c r="A829" i="13"/>
  <c r="A828" i="13"/>
  <c r="A827" i="13"/>
  <c r="A826" i="13"/>
  <c r="A825" i="13"/>
  <c r="A824" i="13"/>
  <c r="A823" i="13"/>
  <c r="A822" i="13"/>
  <c r="A821" i="13"/>
  <c r="A820" i="13"/>
  <c r="A819" i="13"/>
  <c r="A818" i="13"/>
  <c r="A817" i="13"/>
  <c r="A816" i="13"/>
  <c r="A815" i="13"/>
  <c r="A814" i="13"/>
  <c r="A813" i="13"/>
  <c r="A812" i="13"/>
  <c r="A811" i="13"/>
  <c r="A810" i="13"/>
  <c r="A809" i="13"/>
  <c r="A808" i="13"/>
  <c r="A807" i="13"/>
  <c r="A806" i="13"/>
  <c r="A805" i="13"/>
  <c r="A804" i="13"/>
  <c r="A803" i="13"/>
  <c r="A802" i="13"/>
  <c r="A801" i="13"/>
  <c r="A800" i="13"/>
  <c r="A799" i="13"/>
  <c r="A798" i="13"/>
  <c r="A797" i="13"/>
  <c r="A796" i="13"/>
  <c r="A795" i="13"/>
  <c r="A794" i="13"/>
  <c r="A793" i="13"/>
  <c r="A792" i="13"/>
  <c r="A791" i="13"/>
  <c r="A790" i="13"/>
  <c r="A789" i="13"/>
  <c r="A788" i="13"/>
  <c r="A787" i="13"/>
  <c r="A786" i="13"/>
  <c r="A785" i="13"/>
  <c r="A784" i="13"/>
  <c r="A783" i="13"/>
  <c r="A782" i="13"/>
  <c r="A781" i="13"/>
  <c r="A780" i="13"/>
  <c r="A779" i="13"/>
  <c r="A778" i="13"/>
  <c r="A777" i="13"/>
  <c r="A776" i="13"/>
  <c r="A775" i="13"/>
  <c r="A774" i="13"/>
  <c r="A773" i="13"/>
  <c r="A772" i="13"/>
  <c r="A771" i="13"/>
  <c r="A770" i="13"/>
  <c r="A769" i="13"/>
  <c r="A768" i="13"/>
  <c r="A767" i="13"/>
  <c r="A766" i="13"/>
  <c r="A765" i="13"/>
  <c r="A764" i="13"/>
  <c r="A763" i="13"/>
  <c r="A762" i="13"/>
  <c r="A761" i="13"/>
  <c r="A760" i="13"/>
  <c r="A759" i="13"/>
  <c r="A758" i="13"/>
  <c r="A757" i="13"/>
  <c r="A756" i="13"/>
  <c r="A755" i="13"/>
  <c r="A754" i="13"/>
  <c r="A753" i="13"/>
  <c r="A752" i="13"/>
  <c r="A751" i="13"/>
  <c r="A750" i="13"/>
  <c r="A749" i="13"/>
  <c r="A748" i="13"/>
  <c r="A747" i="13"/>
  <c r="A746" i="13"/>
  <c r="A745" i="13"/>
  <c r="A744" i="13"/>
  <c r="A743" i="13"/>
  <c r="A742" i="13"/>
  <c r="A741" i="13"/>
  <c r="A740" i="13"/>
  <c r="A739" i="13"/>
  <c r="A738" i="13"/>
  <c r="A737" i="13"/>
  <c r="A736" i="13"/>
  <c r="A735" i="13"/>
  <c r="A734" i="13"/>
  <c r="A733" i="13"/>
  <c r="A732" i="13"/>
  <c r="A731" i="13"/>
  <c r="A730" i="13"/>
  <c r="A729" i="13"/>
  <c r="A728" i="13"/>
  <c r="A727" i="13"/>
  <c r="A726" i="13"/>
  <c r="A725" i="13"/>
  <c r="A724" i="13"/>
  <c r="A723" i="13"/>
  <c r="A722" i="13"/>
  <c r="A721" i="13"/>
  <c r="A720" i="13"/>
  <c r="A719" i="13"/>
  <c r="A718" i="13"/>
  <c r="A717" i="13"/>
  <c r="A716" i="13"/>
  <c r="A715" i="13"/>
  <c r="A714" i="13"/>
  <c r="A713" i="13"/>
  <c r="A712" i="13"/>
  <c r="A711" i="13"/>
  <c r="A710" i="13"/>
  <c r="A709" i="13"/>
  <c r="A708" i="13"/>
  <c r="A707" i="13"/>
  <c r="A706" i="13"/>
  <c r="A705" i="13"/>
  <c r="A704" i="13"/>
  <c r="A703" i="13"/>
  <c r="A702" i="13"/>
  <c r="A701" i="13"/>
  <c r="A700" i="13"/>
  <c r="A699" i="13"/>
  <c r="A698" i="13"/>
  <c r="A697" i="13"/>
  <c r="A696" i="13"/>
  <c r="A695" i="13"/>
  <c r="A694" i="13"/>
  <c r="A693" i="13"/>
  <c r="A692" i="13"/>
  <c r="A691" i="13"/>
  <c r="A690" i="13"/>
  <c r="A689" i="13"/>
  <c r="A688" i="13"/>
  <c r="A687" i="13"/>
  <c r="A686" i="13"/>
  <c r="A685" i="13"/>
  <c r="A684" i="13"/>
  <c r="A683" i="13"/>
  <c r="A682" i="13"/>
  <c r="A681" i="13"/>
  <c r="A680" i="13"/>
  <c r="A679" i="13"/>
  <c r="A678" i="13"/>
  <c r="A677" i="13"/>
  <c r="A676" i="13"/>
  <c r="A675" i="13"/>
  <c r="A674" i="13"/>
  <c r="A673" i="13"/>
  <c r="A672" i="13"/>
  <c r="A671" i="13"/>
  <c r="A670" i="13"/>
  <c r="A669" i="13"/>
  <c r="A668" i="13"/>
  <c r="A667" i="13"/>
  <c r="A666" i="13"/>
  <c r="A665" i="13"/>
  <c r="A664" i="13"/>
  <c r="A663" i="13"/>
  <c r="A662" i="13"/>
  <c r="A661" i="13"/>
  <c r="A660" i="13"/>
  <c r="A659" i="13"/>
  <c r="A658" i="13"/>
  <c r="A657" i="13"/>
  <c r="A656" i="13"/>
  <c r="A655" i="13"/>
  <c r="A654" i="13"/>
  <c r="A653" i="13"/>
  <c r="A652" i="13"/>
  <c r="A651" i="13"/>
  <c r="A650" i="13"/>
  <c r="A649" i="13"/>
  <c r="A648" i="13"/>
  <c r="A647" i="13"/>
  <c r="A646" i="13"/>
  <c r="A645" i="13"/>
  <c r="A644" i="13"/>
  <c r="A643" i="13"/>
  <c r="A642" i="13"/>
  <c r="A641" i="13"/>
  <c r="A640" i="13"/>
  <c r="A639" i="13"/>
  <c r="A638" i="13"/>
  <c r="A637" i="13"/>
  <c r="A636" i="13"/>
  <c r="A635" i="13"/>
  <c r="A634" i="13"/>
  <c r="A633" i="13"/>
  <c r="A632" i="13"/>
  <c r="A631" i="13"/>
  <c r="A630" i="13"/>
  <c r="A629" i="13"/>
  <c r="A628" i="13"/>
  <c r="A627" i="13"/>
  <c r="A626" i="13"/>
  <c r="A625" i="13"/>
  <c r="A624" i="13"/>
  <c r="A623" i="13"/>
  <c r="A622" i="13"/>
  <c r="A621" i="13"/>
  <c r="A620" i="13"/>
  <c r="A619" i="13"/>
  <c r="A618" i="13"/>
  <c r="A617" i="13"/>
  <c r="A616" i="13"/>
  <c r="A615" i="13"/>
  <c r="A614" i="13"/>
  <c r="A613" i="13"/>
  <c r="A612" i="13"/>
  <c r="A611" i="13"/>
  <c r="A610" i="13"/>
  <c r="A609" i="13"/>
  <c r="A608" i="13"/>
  <c r="A607" i="13"/>
  <c r="A606" i="13"/>
  <c r="A605" i="13"/>
  <c r="A604" i="13"/>
  <c r="A603" i="13"/>
  <c r="A602" i="13"/>
  <c r="A601" i="13"/>
  <c r="A600" i="13"/>
  <c r="A599" i="13"/>
  <c r="A598" i="13"/>
  <c r="A597" i="13"/>
  <c r="A596" i="13"/>
  <c r="A595" i="13"/>
  <c r="A594" i="13"/>
  <c r="A593" i="13"/>
  <c r="A592" i="13"/>
  <c r="A591" i="13"/>
  <c r="A590" i="13"/>
  <c r="A589" i="13"/>
  <c r="A588" i="13"/>
  <c r="A587" i="13"/>
  <c r="A586" i="13"/>
  <c r="A585" i="13"/>
  <c r="A584" i="13"/>
  <c r="A583" i="13"/>
  <c r="A582" i="13"/>
  <c r="A581" i="13"/>
  <c r="A580" i="13"/>
  <c r="A579" i="13"/>
  <c r="A578" i="13"/>
  <c r="A577" i="13"/>
  <c r="A576" i="13"/>
  <c r="A575" i="13"/>
  <c r="A574" i="13"/>
  <c r="A573" i="13"/>
  <c r="A572" i="13"/>
  <c r="A571" i="13"/>
  <c r="A570" i="13"/>
  <c r="A569" i="13"/>
  <c r="A568" i="13"/>
  <c r="A567" i="13"/>
  <c r="A566" i="13"/>
  <c r="A565" i="13"/>
  <c r="A564" i="13"/>
  <c r="A563" i="13"/>
  <c r="A562" i="13"/>
  <c r="A561" i="13"/>
  <c r="A560" i="13"/>
  <c r="A559" i="13"/>
  <c r="A558" i="13"/>
  <c r="A557" i="13"/>
  <c r="A556" i="13"/>
  <c r="A555" i="13"/>
  <c r="A554" i="13"/>
  <c r="A553" i="13"/>
  <c r="A552" i="13"/>
  <c r="A551" i="13"/>
  <c r="A550" i="13"/>
  <c r="A549" i="13"/>
  <c r="A548" i="13"/>
  <c r="A547" i="13"/>
  <c r="A546" i="13"/>
  <c r="A545" i="13"/>
  <c r="A544" i="13"/>
  <c r="A543" i="13"/>
  <c r="A542" i="13"/>
  <c r="A541" i="13"/>
  <c r="A540" i="13"/>
  <c r="A539" i="13"/>
  <c r="A538" i="13"/>
  <c r="A537" i="13"/>
  <c r="A536" i="13"/>
  <c r="A535" i="13"/>
  <c r="A534" i="13"/>
  <c r="A533" i="13"/>
  <c r="A532" i="13"/>
  <c r="A531" i="13"/>
  <c r="A530" i="13"/>
  <c r="A529" i="13"/>
  <c r="A528" i="13"/>
  <c r="A527" i="13"/>
  <c r="A526" i="13"/>
  <c r="A525" i="13"/>
  <c r="A524" i="13"/>
  <c r="A523" i="13"/>
  <c r="A522" i="13"/>
  <c r="A521" i="13"/>
  <c r="A520" i="13"/>
  <c r="A519" i="13"/>
  <c r="A518" i="13"/>
  <c r="A517" i="13"/>
  <c r="A516" i="13"/>
  <c r="A515" i="13"/>
  <c r="A514" i="13"/>
  <c r="A513" i="13"/>
  <c r="A512" i="13"/>
  <c r="A511" i="13"/>
  <c r="A510" i="13"/>
  <c r="A509" i="13"/>
  <c r="A508" i="13"/>
  <c r="A507" i="13"/>
  <c r="A506" i="13"/>
  <c r="A505" i="13"/>
  <c r="A504" i="13"/>
  <c r="A503" i="13"/>
  <c r="A502" i="13"/>
  <c r="A501" i="13"/>
  <c r="A500" i="13"/>
  <c r="A499" i="13"/>
  <c r="A498" i="13"/>
  <c r="A497" i="13"/>
  <c r="A496" i="13"/>
  <c r="A495" i="13"/>
  <c r="A494" i="13"/>
  <c r="A493" i="13"/>
  <c r="A492" i="13"/>
  <c r="A491" i="13"/>
  <c r="A490" i="13"/>
  <c r="A489" i="13"/>
  <c r="A488" i="13"/>
  <c r="A487" i="13"/>
  <c r="A486" i="13"/>
  <c r="A485" i="13"/>
  <c r="A484" i="13"/>
  <c r="A483" i="13"/>
  <c r="A482" i="13"/>
  <c r="A481" i="13"/>
  <c r="A480" i="13"/>
  <c r="A479" i="13"/>
  <c r="A478" i="13"/>
  <c r="A477" i="13"/>
  <c r="A476" i="13"/>
  <c r="A475" i="13"/>
  <c r="A474" i="13"/>
  <c r="A473" i="13"/>
  <c r="A472" i="13"/>
  <c r="A471" i="13"/>
  <c r="A470" i="13"/>
  <c r="A469" i="13"/>
  <c r="A468" i="13"/>
  <c r="A467" i="13"/>
  <c r="A466" i="13"/>
  <c r="A465" i="13"/>
  <c r="A464" i="13"/>
  <c r="A463" i="13"/>
  <c r="A462" i="13"/>
  <c r="A461" i="13"/>
  <c r="A459" i="13"/>
  <c r="A458" i="13"/>
  <c r="A457" i="13"/>
  <c r="A456" i="13"/>
  <c r="A455" i="13"/>
  <c r="A454" i="13"/>
  <c r="A453" i="13"/>
  <c r="A452" i="13"/>
  <c r="A451" i="13"/>
  <c r="A450" i="13"/>
  <c r="A449" i="13"/>
  <c r="A448" i="13"/>
  <c r="A447" i="13"/>
  <c r="A446" i="13"/>
  <c r="A445" i="13"/>
  <c r="A444" i="13"/>
  <c r="A443" i="13"/>
  <c r="A442" i="13"/>
  <c r="A441" i="13"/>
  <c r="A440" i="13"/>
  <c r="A439" i="13"/>
  <c r="A438" i="13"/>
  <c r="A437" i="13"/>
  <c r="A436" i="13"/>
  <c r="A435" i="13"/>
  <c r="A434" i="13"/>
  <c r="A433" i="13"/>
  <c r="A432" i="13"/>
  <c r="A431" i="13"/>
  <c r="A430" i="13"/>
  <c r="A429" i="13"/>
  <c r="A428" i="13"/>
  <c r="A427" i="13"/>
  <c r="A426" i="13"/>
  <c r="A425" i="13"/>
  <c r="A424" i="13"/>
  <c r="A423" i="13"/>
  <c r="A422" i="13"/>
  <c r="A421" i="13"/>
  <c r="A420" i="13"/>
  <c r="A419" i="13"/>
  <c r="A418" i="13"/>
  <c r="A417" i="13"/>
  <c r="A416" i="13"/>
  <c r="A415" i="13"/>
  <c r="A414" i="13"/>
  <c r="A413" i="13"/>
  <c r="A412" i="13"/>
  <c r="A411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H1279" i="13"/>
  <c r="H1265" i="13"/>
  <c r="H1251" i="13"/>
  <c r="H1237" i="13"/>
  <c r="H1223" i="13"/>
  <c r="H1209" i="13"/>
  <c r="H1278" i="13"/>
  <c r="H1264" i="13"/>
  <c r="H1250" i="13"/>
  <c r="H1236" i="13"/>
  <c r="H1222" i="13"/>
  <c r="H1208" i="13"/>
  <c r="H1277" i="13"/>
  <c r="H1263" i="13"/>
  <c r="H1249" i="13"/>
  <c r="H1235" i="13"/>
  <c r="H1221" i="13"/>
  <c r="H1207" i="13"/>
  <c r="H1276" i="13"/>
  <c r="H1262" i="13"/>
  <c r="H1248" i="13"/>
  <c r="H1234" i="13"/>
  <c r="H1220" i="13"/>
  <c r="H1206" i="13"/>
  <c r="H1275" i="13"/>
  <c r="H1261" i="13"/>
  <c r="H1247" i="13"/>
  <c r="H1233" i="13"/>
  <c r="H1219" i="13"/>
  <c r="H1205" i="13"/>
  <c r="H1274" i="13"/>
  <c r="H1260" i="13"/>
  <c r="H1246" i="13"/>
  <c r="H1232" i="13"/>
  <c r="H1218" i="13"/>
  <c r="H1204" i="13"/>
  <c r="H1273" i="13"/>
  <c r="H1259" i="13"/>
  <c r="H1245" i="13"/>
  <c r="H1231" i="13"/>
  <c r="H1217" i="13"/>
  <c r="H1203" i="13"/>
  <c r="H1271" i="13"/>
  <c r="H1257" i="13"/>
  <c r="H1243" i="13"/>
  <c r="H1229" i="13"/>
  <c r="H1215" i="13"/>
  <c r="H1201" i="13"/>
  <c r="H1270" i="13"/>
  <c r="H1256" i="13"/>
  <c r="H1242" i="13"/>
  <c r="H1228" i="13"/>
  <c r="H1214" i="13"/>
  <c r="H1200" i="13"/>
  <c r="H1269" i="13"/>
  <c r="H1255" i="13"/>
  <c r="H1241" i="13"/>
  <c r="H1227" i="13"/>
  <c r="H1213" i="13"/>
  <c r="H1199" i="13"/>
  <c r="H1268" i="13"/>
  <c r="H1254" i="13"/>
  <c r="H1240" i="13"/>
  <c r="H1226" i="13"/>
  <c r="H1212" i="13"/>
  <c r="H1198" i="13"/>
  <c r="H1267" i="13"/>
  <c r="H1253" i="13"/>
  <c r="H1239" i="13"/>
  <c r="H1225" i="13"/>
  <c r="H1211" i="13"/>
  <c r="H1197" i="13"/>
  <c r="H1181" i="13"/>
  <c r="H1185" i="13"/>
  <c r="H1189" i="13"/>
  <c r="H1182" i="13"/>
  <c r="H1186" i="13"/>
  <c r="H1190" i="13"/>
  <c r="H1184" i="13"/>
  <c r="H1188" i="13"/>
  <c r="H1180" i="13"/>
  <c r="H1177" i="13"/>
  <c r="H1091" i="13"/>
  <c r="H1048" i="13"/>
  <c r="H1176" i="13"/>
  <c r="H1090" i="13"/>
  <c r="H1047" i="13"/>
  <c r="H1175" i="13"/>
  <c r="H1089" i="13"/>
  <c r="H1046" i="13"/>
  <c r="H1174" i="13"/>
  <c r="H1088" i="13"/>
  <c r="H1045" i="13"/>
  <c r="H1173" i="13"/>
  <c r="H1087" i="13"/>
  <c r="H1044" i="13"/>
  <c r="H1171" i="13"/>
  <c r="H1085" i="13"/>
  <c r="H1042" i="13"/>
  <c r="H1170" i="13"/>
  <c r="H1084" i="13"/>
  <c r="H1041" i="13"/>
  <c r="H1169" i="13"/>
  <c r="H1083" i="13"/>
  <c r="H1040" i="13"/>
  <c r="H1168" i="13"/>
  <c r="H1082" i="13"/>
  <c r="H1039" i="13"/>
  <c r="H1166" i="13"/>
  <c r="H1080" i="13"/>
  <c r="H1037" i="13"/>
  <c r="H1165" i="13"/>
  <c r="H1079" i="13"/>
  <c r="H1036" i="13"/>
  <c r="H1164" i="13"/>
  <c r="H1078" i="13"/>
  <c r="H1035" i="13"/>
  <c r="H1163" i="13"/>
  <c r="H1077" i="13"/>
  <c r="H1034" i="13"/>
  <c r="H1161" i="13"/>
  <c r="H1075" i="13"/>
  <c r="H1032" i="13"/>
  <c r="H1160" i="13"/>
  <c r="H1074" i="13"/>
  <c r="H1031" i="13"/>
  <c r="H1159" i="13"/>
  <c r="H1073" i="13"/>
  <c r="H1030" i="13"/>
  <c r="H1158" i="13"/>
  <c r="H1072" i="13"/>
  <c r="H1029" i="13"/>
  <c r="H1156" i="13"/>
  <c r="H1070" i="13"/>
  <c r="H1027" i="13"/>
  <c r="H1155" i="13"/>
  <c r="H1069" i="13"/>
  <c r="H1026" i="13"/>
  <c r="H1154" i="13"/>
  <c r="H1068" i="13"/>
  <c r="H1025" i="13"/>
  <c r="H1152" i="13"/>
  <c r="H1066" i="13"/>
  <c r="H1023" i="13"/>
  <c r="H1150" i="13"/>
  <c r="H1064" i="13"/>
  <c r="H1021" i="13"/>
  <c r="H1149" i="13"/>
  <c r="H1063" i="13"/>
  <c r="H1020" i="13"/>
  <c r="H1148" i="13"/>
  <c r="H1062" i="13"/>
  <c r="H1019" i="13"/>
  <c r="H1147" i="13"/>
  <c r="H1061" i="13"/>
  <c r="H1018" i="13"/>
  <c r="H1146" i="13"/>
  <c r="H1060" i="13"/>
  <c r="H1017" i="13"/>
  <c r="H1145" i="13"/>
  <c r="H1059" i="13"/>
  <c r="H1016" i="13"/>
  <c r="H1144" i="13"/>
  <c r="H1058" i="13"/>
  <c r="H1015" i="13"/>
  <c r="H1143" i="13"/>
  <c r="H1057" i="13"/>
  <c r="H1014" i="13"/>
  <c r="H1142" i="13"/>
  <c r="H1056" i="13"/>
  <c r="H1013" i="13"/>
  <c r="H1140" i="13"/>
  <c r="H1054" i="13"/>
  <c r="H1011" i="13"/>
  <c r="H1139" i="13"/>
  <c r="H1053" i="13"/>
  <c r="H1010" i="13"/>
  <c r="H1138" i="13"/>
  <c r="H1052" i="13"/>
  <c r="H1009" i="13"/>
  <c r="H944" i="13"/>
  <c r="H973" i="13"/>
  <c r="H941" i="13"/>
  <c r="H972" i="13"/>
  <c r="H940" i="13"/>
  <c r="H971" i="13"/>
  <c r="H939" i="13"/>
  <c r="H970" i="13"/>
  <c r="H938" i="13"/>
  <c r="H968" i="13"/>
  <c r="H936" i="13"/>
  <c r="H967" i="13"/>
  <c r="H935" i="13"/>
  <c r="H966" i="13"/>
  <c r="H934" i="13"/>
  <c r="H965" i="13"/>
  <c r="H933" i="13"/>
  <c r="H963" i="13"/>
  <c r="H931" i="13"/>
  <c r="H962" i="13"/>
  <c r="H930" i="13"/>
  <c r="H961" i="13"/>
  <c r="H929" i="13"/>
  <c r="H960" i="13"/>
  <c r="H928" i="13"/>
  <c r="H959" i="13"/>
  <c r="H927" i="13"/>
  <c r="H958" i="13"/>
  <c r="H926" i="13"/>
  <c r="H957" i="13"/>
  <c r="H925" i="13"/>
  <c r="H956" i="13"/>
  <c r="H924" i="13"/>
  <c r="H954" i="13"/>
  <c r="H922" i="13"/>
  <c r="H952" i="13"/>
  <c r="H920" i="13"/>
  <c r="H951" i="13"/>
  <c r="H919" i="13"/>
  <c r="H949" i="13"/>
  <c r="H917" i="13"/>
  <c r="H948" i="13"/>
  <c r="H916" i="13"/>
  <c r="H947" i="13"/>
  <c r="H915" i="13"/>
  <c r="H946" i="13"/>
  <c r="H914" i="13"/>
  <c r="H912" i="13"/>
  <c r="H849" i="13"/>
  <c r="H819" i="13"/>
  <c r="H759" i="13"/>
  <c r="H729" i="13"/>
  <c r="H699" i="13"/>
  <c r="H639" i="13"/>
  <c r="H609" i="13"/>
  <c r="H549" i="13"/>
  <c r="H519" i="13"/>
  <c r="H489" i="13"/>
  <c r="H847" i="13"/>
  <c r="H817" i="13"/>
  <c r="H757" i="13"/>
  <c r="H727" i="13"/>
  <c r="H697" i="13"/>
  <c r="H637" i="13"/>
  <c r="H607" i="13"/>
  <c r="H547" i="13"/>
  <c r="H517" i="13"/>
  <c r="H487" i="13"/>
  <c r="H846" i="13"/>
  <c r="H816" i="13"/>
  <c r="H756" i="13"/>
  <c r="H726" i="13"/>
  <c r="H696" i="13"/>
  <c r="H636" i="13"/>
  <c r="H606" i="13"/>
  <c r="H546" i="13"/>
  <c r="H516" i="13"/>
  <c r="H486" i="13"/>
  <c r="H845" i="13"/>
  <c r="H815" i="13"/>
  <c r="H755" i="13"/>
  <c r="H725" i="13"/>
  <c r="H695" i="13"/>
  <c r="H635" i="13"/>
  <c r="H605" i="13"/>
  <c r="H545" i="13"/>
  <c r="H515" i="13"/>
  <c r="H485" i="13"/>
  <c r="H844" i="13"/>
  <c r="H814" i="13"/>
  <c r="H754" i="13"/>
  <c r="H724" i="13"/>
  <c r="H694" i="13"/>
  <c r="H634" i="13"/>
  <c r="H604" i="13"/>
  <c r="H544" i="13"/>
  <c r="H514" i="13"/>
  <c r="H484" i="13"/>
  <c r="H843" i="13"/>
  <c r="H813" i="13"/>
  <c r="H753" i="13"/>
  <c r="H723" i="13"/>
  <c r="H693" i="13"/>
  <c r="H633" i="13"/>
  <c r="H603" i="13"/>
  <c r="H543" i="13"/>
  <c r="H513" i="13"/>
  <c r="H483" i="13"/>
  <c r="H841" i="13"/>
  <c r="H811" i="13"/>
  <c r="H751" i="13"/>
  <c r="H721" i="13"/>
  <c r="H691" i="13"/>
  <c r="H631" i="13"/>
  <c r="H601" i="13"/>
  <c r="H541" i="13"/>
  <c r="H511" i="13"/>
  <c r="H481" i="13"/>
  <c r="H840" i="13"/>
  <c r="H810" i="13"/>
  <c r="H750" i="13"/>
  <c r="H720" i="13"/>
  <c r="H690" i="13"/>
  <c r="H630" i="13"/>
  <c r="H600" i="13"/>
  <c r="H540" i="13"/>
  <c r="H510" i="13"/>
  <c r="H480" i="13"/>
  <c r="H839" i="13"/>
  <c r="H809" i="13"/>
  <c r="H749" i="13"/>
  <c r="H719" i="13"/>
  <c r="H689" i="13"/>
  <c r="H629" i="13"/>
  <c r="H599" i="13"/>
  <c r="H539" i="13"/>
  <c r="H509" i="13"/>
  <c r="H479" i="13"/>
  <c r="H838" i="13"/>
  <c r="H808" i="13"/>
  <c r="H748" i="13"/>
  <c r="H718" i="13"/>
  <c r="H688" i="13"/>
  <c r="H628" i="13"/>
  <c r="H598" i="13"/>
  <c r="H538" i="13"/>
  <c r="H508" i="13"/>
  <c r="H478" i="13"/>
  <c r="H835" i="13"/>
  <c r="H805" i="13"/>
  <c r="H745" i="13"/>
  <c r="H715" i="13"/>
  <c r="H685" i="13"/>
  <c r="H625" i="13"/>
  <c r="H595" i="13"/>
  <c r="H535" i="13"/>
  <c r="H505" i="13"/>
  <c r="H475" i="13"/>
  <c r="H834" i="13"/>
  <c r="H804" i="13"/>
  <c r="H744" i="13"/>
  <c r="H714" i="13"/>
  <c r="H684" i="13"/>
  <c r="H624" i="13"/>
  <c r="H594" i="13"/>
  <c r="H534" i="13"/>
  <c r="H504" i="13"/>
  <c r="H474" i="13"/>
  <c r="H833" i="13"/>
  <c r="H803" i="13"/>
  <c r="H743" i="13"/>
  <c r="H713" i="13"/>
  <c r="H683" i="13"/>
  <c r="H623" i="13"/>
  <c r="H593" i="13"/>
  <c r="H533" i="13"/>
  <c r="H503" i="13"/>
  <c r="H473" i="13"/>
  <c r="H832" i="13"/>
  <c r="H802" i="13"/>
  <c r="H742" i="13"/>
  <c r="H712" i="13"/>
  <c r="H682" i="13"/>
  <c r="H622" i="13"/>
  <c r="H592" i="13"/>
  <c r="H532" i="13"/>
  <c r="H502" i="13"/>
  <c r="H472" i="13"/>
  <c r="H831" i="13"/>
  <c r="H801" i="13"/>
  <c r="H741" i="13"/>
  <c r="H711" i="13"/>
  <c r="H681" i="13"/>
  <c r="H621" i="13"/>
  <c r="H591" i="13"/>
  <c r="H531" i="13"/>
  <c r="H501" i="13"/>
  <c r="H471" i="13"/>
  <c r="H830" i="13"/>
  <c r="H800" i="13"/>
  <c r="H740" i="13"/>
  <c r="H710" i="13"/>
  <c r="H680" i="13"/>
  <c r="H620" i="13"/>
  <c r="H590" i="13"/>
  <c r="H530" i="13"/>
  <c r="H500" i="13"/>
  <c r="H470" i="13"/>
  <c r="H828" i="13"/>
  <c r="H798" i="13"/>
  <c r="H738" i="13"/>
  <c r="H708" i="13"/>
  <c r="H678" i="13"/>
  <c r="H618" i="13"/>
  <c r="H588" i="13"/>
  <c r="H528" i="13"/>
  <c r="H498" i="13"/>
  <c r="H468" i="13"/>
  <c r="H827" i="13"/>
  <c r="H797" i="13"/>
  <c r="H737" i="13"/>
  <c r="H707" i="13"/>
  <c r="H677" i="13"/>
  <c r="H617" i="13"/>
  <c r="H587" i="13"/>
  <c r="H527" i="13"/>
  <c r="H497" i="13"/>
  <c r="H467" i="13"/>
  <c r="H826" i="13"/>
  <c r="H796" i="13"/>
  <c r="H736" i="13"/>
  <c r="H706" i="13"/>
  <c r="H676" i="13"/>
  <c r="H616" i="13"/>
  <c r="H586" i="13"/>
  <c r="H526" i="13"/>
  <c r="H496" i="13"/>
  <c r="H466" i="13"/>
  <c r="H825" i="13"/>
  <c r="H795" i="13"/>
  <c r="H735" i="13"/>
  <c r="H705" i="13"/>
  <c r="H675" i="13"/>
  <c r="H615" i="13"/>
  <c r="H585" i="13"/>
  <c r="H525" i="13"/>
  <c r="H495" i="13"/>
  <c r="H465" i="13"/>
  <c r="H824" i="13"/>
  <c r="H794" i="13"/>
  <c r="H734" i="13"/>
  <c r="H704" i="13"/>
  <c r="H674" i="13"/>
  <c r="H614" i="13"/>
  <c r="H584" i="13"/>
  <c r="H524" i="13"/>
  <c r="H494" i="13"/>
  <c r="H464" i="13"/>
  <c r="H823" i="13"/>
  <c r="H793" i="13"/>
  <c r="H733" i="13"/>
  <c r="H703" i="13"/>
  <c r="H673" i="13"/>
  <c r="H613" i="13"/>
  <c r="H583" i="13"/>
  <c r="H523" i="13"/>
  <c r="H493" i="13"/>
  <c r="H463" i="13"/>
  <c r="H822" i="13"/>
  <c r="H792" i="13"/>
  <c r="H732" i="13"/>
  <c r="H702" i="13"/>
  <c r="H672" i="13"/>
  <c r="H612" i="13"/>
  <c r="H582" i="13"/>
  <c r="H522" i="13"/>
  <c r="H492" i="13"/>
  <c r="H462" i="13"/>
  <c r="H821" i="13"/>
  <c r="H791" i="13"/>
  <c r="H731" i="13"/>
  <c r="H701" i="13"/>
  <c r="H671" i="13"/>
  <c r="H611" i="13"/>
  <c r="H581" i="13"/>
  <c r="H521" i="13"/>
  <c r="H491" i="13"/>
  <c r="H461" i="13"/>
  <c r="H242" i="13"/>
  <c r="H243" i="13"/>
  <c r="H245" i="13"/>
  <c r="H247" i="13"/>
  <c r="H248" i="13"/>
  <c r="H249" i="13"/>
  <c r="H251" i="13"/>
  <c r="H252" i="13"/>
  <c r="H254" i="13"/>
  <c r="H255" i="13"/>
  <c r="H256" i="13"/>
  <c r="H257" i="13"/>
  <c r="H259" i="13"/>
  <c r="H260" i="13"/>
  <c r="H458" i="13"/>
  <c r="H414" i="13"/>
  <c r="H392" i="13"/>
  <c r="H370" i="13"/>
  <c r="H348" i="13"/>
  <c r="H326" i="13"/>
  <c r="H304" i="13"/>
  <c r="H282" i="13"/>
  <c r="H457" i="13"/>
  <c r="H413" i="13"/>
  <c r="H391" i="13"/>
  <c r="H369" i="13"/>
  <c r="H347" i="13"/>
  <c r="H325" i="13"/>
  <c r="H303" i="13"/>
  <c r="H281" i="13"/>
  <c r="H455" i="13"/>
  <c r="H411" i="13"/>
  <c r="H389" i="13"/>
  <c r="H367" i="13"/>
  <c r="H345" i="13"/>
  <c r="H323" i="13"/>
  <c r="H301" i="13"/>
  <c r="H279" i="13"/>
  <c r="H454" i="13"/>
  <c r="H410" i="13"/>
  <c r="H388" i="13"/>
  <c r="H366" i="13"/>
  <c r="H344" i="13"/>
  <c r="H322" i="13"/>
  <c r="H300" i="13"/>
  <c r="H278" i="13"/>
  <c r="H453" i="13"/>
  <c r="H409" i="13"/>
  <c r="H387" i="13"/>
  <c r="H365" i="13"/>
  <c r="H343" i="13"/>
  <c r="H321" i="13"/>
  <c r="H299" i="13"/>
  <c r="H277" i="13"/>
  <c r="H452" i="13"/>
  <c r="H408" i="13"/>
  <c r="H386" i="13"/>
  <c r="H364" i="13"/>
  <c r="H342" i="13"/>
  <c r="H320" i="13"/>
  <c r="H298" i="13"/>
  <c r="H276" i="13"/>
  <c r="H450" i="13"/>
  <c r="H406" i="13"/>
  <c r="H384" i="13"/>
  <c r="H362" i="13"/>
  <c r="H340" i="13"/>
  <c r="H318" i="13"/>
  <c r="H296" i="13"/>
  <c r="H274" i="13"/>
  <c r="H449" i="13"/>
  <c r="H405" i="13"/>
  <c r="H383" i="13"/>
  <c r="H361" i="13"/>
  <c r="H339" i="13"/>
  <c r="H317" i="13"/>
  <c r="H295" i="13"/>
  <c r="H273" i="13"/>
  <c r="H447" i="13"/>
  <c r="H403" i="13"/>
  <c r="H381" i="13"/>
  <c r="H359" i="13"/>
  <c r="H337" i="13"/>
  <c r="H315" i="13"/>
  <c r="H293" i="13"/>
  <c r="H271" i="13"/>
  <c r="H446" i="13"/>
  <c r="H402" i="13"/>
  <c r="H380" i="13"/>
  <c r="H358" i="13"/>
  <c r="H336" i="13"/>
  <c r="H314" i="13"/>
  <c r="H292" i="13"/>
  <c r="H270" i="13"/>
  <c r="H445" i="13"/>
  <c r="H401" i="13"/>
  <c r="H379" i="13"/>
  <c r="H357" i="13"/>
  <c r="H335" i="13"/>
  <c r="H313" i="13"/>
  <c r="H291" i="13"/>
  <c r="H269" i="13"/>
  <c r="H443" i="13"/>
  <c r="H399" i="13"/>
  <c r="H333" i="13"/>
  <c r="H311" i="13"/>
  <c r="H289" i="13"/>
  <c r="H267" i="13"/>
  <c r="H441" i="13"/>
  <c r="H397" i="13"/>
  <c r="H375" i="13"/>
  <c r="H353" i="13"/>
  <c r="H331" i="13"/>
  <c r="H309" i="13"/>
  <c r="H287" i="13"/>
  <c r="H265" i="13"/>
  <c r="H440" i="13"/>
  <c r="H396" i="13"/>
  <c r="H374" i="13"/>
  <c r="H352" i="13"/>
  <c r="H330" i="13"/>
  <c r="H308" i="13"/>
  <c r="H286" i="13"/>
  <c r="H264" i="13"/>
  <c r="H394" i="13"/>
  <c r="H328" i="13"/>
  <c r="H230" i="13"/>
  <c r="H232" i="13"/>
  <c r="H233" i="13"/>
  <c r="H234" i="13"/>
  <c r="H235" i="13"/>
  <c r="H237" i="13"/>
  <c r="H238" i="13"/>
  <c r="H220" i="13"/>
  <c r="H221" i="13"/>
  <c r="H223" i="13"/>
  <c r="H225" i="13"/>
  <c r="H226" i="13"/>
  <c r="H227" i="13"/>
  <c r="H229" i="13"/>
  <c r="H181" i="13"/>
  <c r="H182" i="13"/>
  <c r="H183" i="13"/>
  <c r="H184" i="13"/>
  <c r="H185" i="13"/>
  <c r="H186" i="13"/>
  <c r="H187" i="13"/>
  <c r="H188" i="13"/>
  <c r="H189" i="13"/>
  <c r="H190" i="13"/>
  <c r="H192" i="13"/>
  <c r="H193" i="13"/>
  <c r="H194" i="13"/>
  <c r="H195" i="13"/>
  <c r="H196" i="13"/>
  <c r="H197" i="13"/>
  <c r="H198" i="13"/>
  <c r="H199" i="13"/>
  <c r="H200" i="13"/>
  <c r="H201" i="13"/>
  <c r="H203" i="13"/>
  <c r="H204" i="13"/>
  <c r="H205" i="13"/>
  <c r="H206" i="13"/>
  <c r="H207" i="13"/>
  <c r="H208" i="13"/>
  <c r="H209" i="13"/>
  <c r="H210" i="13"/>
  <c r="H213" i="13"/>
  <c r="H215" i="13"/>
  <c r="H216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H177" i="13"/>
  <c r="H173" i="13"/>
  <c r="H172" i="13"/>
  <c r="H168" i="13"/>
  <c r="H167" i="13"/>
  <c r="H166" i="13"/>
  <c r="H165" i="13"/>
  <c r="H164" i="13"/>
  <c r="H163" i="13"/>
  <c r="H162" i="13"/>
  <c r="H160" i="13"/>
  <c r="H159" i="13"/>
  <c r="H158" i="13"/>
  <c r="H157" i="13"/>
  <c r="H127" i="13"/>
  <c r="H128" i="13"/>
  <c r="H129" i="13"/>
  <c r="H130" i="13"/>
  <c r="H131" i="13"/>
  <c r="H132" i="13"/>
  <c r="H133" i="13"/>
  <c r="H134" i="13"/>
  <c r="H135" i="13"/>
  <c r="H136" i="13"/>
  <c r="H138" i="13"/>
  <c r="H139" i="13"/>
  <c r="H140" i="13"/>
  <c r="H141" i="13"/>
  <c r="H145" i="13"/>
  <c r="H146" i="13"/>
  <c r="H150" i="13"/>
  <c r="H151" i="13"/>
  <c r="H152" i="13"/>
  <c r="H154" i="13"/>
  <c r="H73" i="13"/>
  <c r="H74" i="13"/>
  <c r="H75" i="13"/>
  <c r="H76" i="13"/>
  <c r="H77" i="13"/>
  <c r="H78" i="13"/>
  <c r="H80" i="13"/>
  <c r="H81" i="13"/>
  <c r="H83" i="13"/>
  <c r="H84" i="13"/>
  <c r="H85" i="13"/>
  <c r="H88" i="13"/>
  <c r="H89" i="13"/>
  <c r="H90" i="13"/>
  <c r="H91" i="13"/>
  <c r="H92" i="13"/>
  <c r="H95" i="13"/>
  <c r="H96" i="13"/>
  <c r="H97" i="13"/>
  <c r="H98" i="13"/>
  <c r="H99" i="13"/>
  <c r="H100" i="13"/>
  <c r="H101" i="13"/>
  <c r="H103" i="13"/>
  <c r="H104" i="13"/>
  <c r="H105" i="13"/>
  <c r="H106" i="13"/>
  <c r="H108" i="13"/>
  <c r="H109" i="13"/>
  <c r="H111" i="13"/>
  <c r="H112" i="13"/>
  <c r="H113" i="13"/>
  <c r="H114" i="13"/>
  <c r="H115" i="13"/>
  <c r="H116" i="13"/>
  <c r="H117" i="13"/>
  <c r="H118" i="13"/>
  <c r="H119" i="13"/>
  <c r="H121" i="13"/>
  <c r="H122" i="13"/>
  <c r="H12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H70" i="13"/>
  <c r="H68" i="13"/>
  <c r="H67" i="13"/>
  <c r="H66" i="13"/>
  <c r="H65" i="13"/>
  <c r="H63" i="13"/>
  <c r="H62" i="13"/>
  <c r="H61" i="13"/>
  <c r="H60" i="13"/>
  <c r="H59" i="13"/>
  <c r="H56" i="13"/>
  <c r="H55" i="13"/>
  <c r="H54" i="13"/>
  <c r="H53" i="13"/>
  <c r="H52" i="13"/>
  <c r="H51" i="13"/>
  <c r="H50" i="13"/>
  <c r="H49" i="13"/>
  <c r="H47" i="13"/>
  <c r="H46" i="13"/>
  <c r="H45" i="13"/>
  <c r="H44" i="13"/>
  <c r="H43" i="13"/>
  <c r="H42" i="13"/>
  <c r="H40" i="13"/>
  <c r="H39" i="13"/>
  <c r="H37" i="13"/>
  <c r="H36" i="13"/>
  <c r="H35" i="13"/>
  <c r="H34" i="13"/>
  <c r="H32" i="13"/>
  <c r="H31" i="13"/>
  <c r="H30" i="13"/>
  <c r="H29" i="13"/>
  <c r="H28" i="13"/>
  <c r="H26" i="13"/>
  <c r="H25" i="13"/>
  <c r="H24" i="13"/>
  <c r="H23" i="13"/>
  <c r="H20" i="13"/>
  <c r="H19" i="13"/>
  <c r="H17" i="13"/>
  <c r="H16" i="13"/>
  <c r="H15" i="13"/>
  <c r="H14" i="13"/>
  <c r="H13" i="13"/>
  <c r="H12" i="13"/>
  <c r="H10" i="13"/>
  <c r="H9" i="13"/>
  <c r="H7" i="13"/>
  <c r="H6" i="13"/>
  <c r="H5" i="13"/>
  <c r="H4" i="13"/>
  <c r="H3" i="13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0" i="2"/>
  <c r="E12" i="11"/>
  <c r="H27" i="8"/>
  <c r="H1280" i="13" s="1"/>
  <c r="G27" i="8"/>
  <c r="F27" i="8"/>
  <c r="H1252" i="13" s="1"/>
  <c r="E27" i="8"/>
  <c r="H1238" i="13" s="1"/>
  <c r="D27" i="8"/>
  <c r="H1224" i="13" s="1"/>
  <c r="C27" i="8"/>
  <c r="H1210" i="13" s="1"/>
  <c r="I26" i="8"/>
  <c r="H1293" i="13" s="1"/>
  <c r="I25" i="8"/>
  <c r="H1292" i="13" s="1"/>
  <c r="I24" i="8"/>
  <c r="H1291" i="13" s="1"/>
  <c r="I23" i="8"/>
  <c r="H1290" i="13" s="1"/>
  <c r="I22" i="8"/>
  <c r="H1289" i="13" s="1"/>
  <c r="I21" i="8"/>
  <c r="H1288" i="13" s="1"/>
  <c r="I20" i="8"/>
  <c r="H1287" i="13" s="1"/>
  <c r="H18" i="8"/>
  <c r="H1272" i="13" s="1"/>
  <c r="G18" i="8"/>
  <c r="H1258" i="13" s="1"/>
  <c r="F18" i="8"/>
  <c r="H1244" i="13" s="1"/>
  <c r="E18" i="8"/>
  <c r="H1230" i="13" s="1"/>
  <c r="D18" i="8"/>
  <c r="H1216" i="13" s="1"/>
  <c r="C18" i="8"/>
  <c r="H1202" i="13" s="1"/>
  <c r="I17" i="8"/>
  <c r="H1285" i="13" s="1"/>
  <c r="I16" i="8"/>
  <c r="H1284" i="13" s="1"/>
  <c r="I15" i="8"/>
  <c r="H1283" i="13" s="1"/>
  <c r="I14" i="8"/>
  <c r="H1282" i="13" s="1"/>
  <c r="I13" i="8"/>
  <c r="H1281" i="13" s="1"/>
  <c r="E107" i="7"/>
  <c r="H1191" i="13" s="1"/>
  <c r="D107" i="7"/>
  <c r="H1187" i="13" s="1"/>
  <c r="C107" i="7"/>
  <c r="H1183" i="13" s="1"/>
  <c r="F106" i="7"/>
  <c r="H1194" i="13" s="1"/>
  <c r="F105" i="7"/>
  <c r="F104" i="7"/>
  <c r="H1192" i="13" s="1"/>
  <c r="E97" i="7"/>
  <c r="H1134" i="13" s="1"/>
  <c r="E96" i="7"/>
  <c r="H1133" i="13" s="1"/>
  <c r="E95" i="7"/>
  <c r="H1132" i="13" s="1"/>
  <c r="E94" i="7"/>
  <c r="E93" i="7"/>
  <c r="H1130" i="13" s="1"/>
  <c r="F92" i="7"/>
  <c r="D92" i="7"/>
  <c r="H1086" i="13" s="1"/>
  <c r="C92" i="7"/>
  <c r="E91" i="7"/>
  <c r="H1128" i="13" s="1"/>
  <c r="E90" i="7"/>
  <c r="H1127" i="13" s="1"/>
  <c r="E89" i="7"/>
  <c r="H1126" i="13" s="1"/>
  <c r="E88" i="7"/>
  <c r="H1125" i="13" s="1"/>
  <c r="E86" i="7"/>
  <c r="H1123" i="13" s="1"/>
  <c r="E85" i="7"/>
  <c r="H1122" i="13" s="1"/>
  <c r="E84" i="7"/>
  <c r="H1121" i="13" s="1"/>
  <c r="E83" i="7"/>
  <c r="H1120" i="13" s="1"/>
  <c r="F82" i="7"/>
  <c r="H1162" i="13" s="1"/>
  <c r="D82" i="7"/>
  <c r="H1076" i="13" s="1"/>
  <c r="C82" i="7"/>
  <c r="H1033" i="13" s="1"/>
  <c r="E81" i="7"/>
  <c r="H1118" i="13" s="1"/>
  <c r="E80" i="7"/>
  <c r="E79" i="7"/>
  <c r="H1116" i="13"/>
  <c r="E78" i="7"/>
  <c r="H1115" i="13" s="1"/>
  <c r="F77" i="7"/>
  <c r="H1157" i="13" s="1"/>
  <c r="D77" i="7"/>
  <c r="H1071" i="13" s="1"/>
  <c r="C77" i="7"/>
  <c r="H1028" i="13" s="1"/>
  <c r="E76" i="7"/>
  <c r="H1113" i="13" s="1"/>
  <c r="E75" i="7"/>
  <c r="E74" i="7"/>
  <c r="H1111" i="13" s="1"/>
  <c r="F73" i="7"/>
  <c r="H1153" i="13" s="1"/>
  <c r="D73" i="7"/>
  <c r="H1067" i="13" s="1"/>
  <c r="C73" i="7"/>
  <c r="H1024" i="13" s="1"/>
  <c r="E70" i="7"/>
  <c r="H1109" i="13" s="1"/>
  <c r="E67" i="7"/>
  <c r="H1107" i="13" s="1"/>
  <c r="E66" i="7"/>
  <c r="H1106" i="13" s="1"/>
  <c r="E65" i="7"/>
  <c r="H1105" i="13" s="1"/>
  <c r="E64" i="7"/>
  <c r="H1104" i="13" s="1"/>
  <c r="E63" i="7"/>
  <c r="H1103" i="13" s="1"/>
  <c r="E62" i="7"/>
  <c r="H1102" i="13"/>
  <c r="E61" i="7"/>
  <c r="H1101" i="13" s="1"/>
  <c r="E60" i="7"/>
  <c r="H1100" i="13" s="1"/>
  <c r="E59" i="7"/>
  <c r="H1099" i="13" s="1"/>
  <c r="F58" i="7"/>
  <c r="H1141" i="13" s="1"/>
  <c r="D58" i="7"/>
  <c r="H1055" i="13" s="1"/>
  <c r="C58" i="7"/>
  <c r="H1012" i="13" s="1"/>
  <c r="E57" i="7"/>
  <c r="H1097" i="13" s="1"/>
  <c r="E56" i="7"/>
  <c r="H1096" i="13" s="1"/>
  <c r="E55" i="7"/>
  <c r="H1095" i="13" s="1"/>
  <c r="F54" i="7"/>
  <c r="H1137" i="13" s="1"/>
  <c r="D54" i="7"/>
  <c r="C54" i="7"/>
  <c r="E44" i="7"/>
  <c r="H1005" i="13" s="1"/>
  <c r="E43" i="7"/>
  <c r="H1004" i="13" s="1"/>
  <c r="E42" i="7"/>
  <c r="H1003" i="13" s="1"/>
  <c r="E41" i="7"/>
  <c r="H1002" i="13" s="1"/>
  <c r="D40" i="7"/>
  <c r="H969" i="13" s="1"/>
  <c r="C40" i="7"/>
  <c r="H937" i="13" s="1"/>
  <c r="E39" i="7"/>
  <c r="H1000" i="13" s="1"/>
  <c r="E38" i="7"/>
  <c r="H999" i="13" s="1"/>
  <c r="E37" i="7"/>
  <c r="H998" i="13" s="1"/>
  <c r="E36" i="7"/>
  <c r="D35" i="7"/>
  <c r="H964" i="13" s="1"/>
  <c r="C35" i="7"/>
  <c r="H932" i="13" s="1"/>
  <c r="E34" i="7"/>
  <c r="H995" i="13" s="1"/>
  <c r="E33" i="7"/>
  <c r="H994" i="13" s="1"/>
  <c r="E32" i="7"/>
  <c r="H993" i="13" s="1"/>
  <c r="E31" i="7"/>
  <c r="H992" i="13" s="1"/>
  <c r="E30" i="7"/>
  <c r="H991" i="13" s="1"/>
  <c r="E29" i="7"/>
  <c r="H990" i="13" s="1"/>
  <c r="E28" i="7"/>
  <c r="H989" i="13" s="1"/>
  <c r="E27" i="7"/>
  <c r="H988" i="13" s="1"/>
  <c r="D26" i="7"/>
  <c r="H955" i="13" s="1"/>
  <c r="C26" i="7"/>
  <c r="H923" i="13" s="1"/>
  <c r="E23" i="7"/>
  <c r="H986" i="13" s="1"/>
  <c r="E22" i="7"/>
  <c r="E20" i="7"/>
  <c r="H984" i="13" s="1"/>
  <c r="E19" i="7"/>
  <c r="H983" i="13" s="1"/>
  <c r="D18" i="7"/>
  <c r="H950" i="13" s="1"/>
  <c r="C18" i="7"/>
  <c r="E17" i="7"/>
  <c r="H981" i="13" s="1"/>
  <c r="E16" i="7"/>
  <c r="H980" i="13" s="1"/>
  <c r="E15" i="7"/>
  <c r="H979" i="13" s="1"/>
  <c r="E14" i="7"/>
  <c r="H978" i="13" s="1"/>
  <c r="D13" i="7"/>
  <c r="C13" i="7"/>
  <c r="H913" i="13" s="1"/>
  <c r="E11" i="7"/>
  <c r="H976" i="13" s="1"/>
  <c r="N41" i="6"/>
  <c r="G41" i="6"/>
  <c r="H579" i="13" s="1"/>
  <c r="N39" i="6"/>
  <c r="Q39" i="6" s="1"/>
  <c r="H877" i="13" s="1"/>
  <c r="G39" i="6"/>
  <c r="H577" i="13" s="1"/>
  <c r="N38" i="6"/>
  <c r="G38" i="6"/>
  <c r="H576" i="13" s="1"/>
  <c r="J38" i="6"/>
  <c r="H666" i="13" s="1"/>
  <c r="N37" i="6"/>
  <c r="Q37" i="6" s="1"/>
  <c r="H875" i="13" s="1"/>
  <c r="G37" i="6"/>
  <c r="N36" i="6"/>
  <c r="Q36" i="6" s="1"/>
  <c r="H874" i="13" s="1"/>
  <c r="G36" i="6"/>
  <c r="J36" i="6" s="1"/>
  <c r="N35" i="6"/>
  <c r="Q35" i="6" s="1"/>
  <c r="H873" i="13" s="1"/>
  <c r="G35" i="6"/>
  <c r="H573" i="13" s="1"/>
  <c r="P34" i="6"/>
  <c r="O34" i="6"/>
  <c r="H812" i="13" s="1"/>
  <c r="M34" i="6"/>
  <c r="H752" i="13" s="1"/>
  <c r="L34" i="6"/>
  <c r="H722" i="13" s="1"/>
  <c r="K34" i="6"/>
  <c r="H692" i="13" s="1"/>
  <c r="I34" i="6"/>
  <c r="H632" i="13" s="1"/>
  <c r="H34" i="6"/>
  <c r="H602" i="13" s="1"/>
  <c r="F34" i="6"/>
  <c r="H542" i="13" s="1"/>
  <c r="E34" i="6"/>
  <c r="H512" i="13" s="1"/>
  <c r="D34" i="6"/>
  <c r="H482" i="13" s="1"/>
  <c r="N33" i="6"/>
  <c r="Q33" i="6" s="1"/>
  <c r="H871" i="13" s="1"/>
  <c r="G33" i="6"/>
  <c r="J33" i="6" s="1"/>
  <c r="H661" i="13" s="1"/>
  <c r="N32" i="6"/>
  <c r="Q32" i="6" s="1"/>
  <c r="H870" i="13" s="1"/>
  <c r="G32" i="6"/>
  <c r="J32" i="6" s="1"/>
  <c r="H660" i="13" s="1"/>
  <c r="N31" i="6"/>
  <c r="H779" i="13" s="1"/>
  <c r="G31" i="6"/>
  <c r="N30" i="6"/>
  <c r="H778" i="13" s="1"/>
  <c r="G30" i="6"/>
  <c r="J30" i="6" s="1"/>
  <c r="P29" i="6"/>
  <c r="H837" i="13" s="1"/>
  <c r="O29" i="6"/>
  <c r="H807" i="13" s="1"/>
  <c r="M29" i="6"/>
  <c r="L29" i="6"/>
  <c r="H717" i="13" s="1"/>
  <c r="K29" i="6"/>
  <c r="I29" i="6"/>
  <c r="H627" i="13" s="1"/>
  <c r="H29" i="6"/>
  <c r="H597" i="13" s="1"/>
  <c r="F29" i="6"/>
  <c r="E29" i="6"/>
  <c r="H507" i="13" s="1"/>
  <c r="D29" i="6"/>
  <c r="P27" i="6"/>
  <c r="H836" i="13" s="1"/>
  <c r="O27" i="6"/>
  <c r="H806" i="13" s="1"/>
  <c r="M27" i="6"/>
  <c r="H746" i="13" s="1"/>
  <c r="L27" i="6"/>
  <c r="H716" i="13" s="1"/>
  <c r="K27" i="6"/>
  <c r="H686" i="13" s="1"/>
  <c r="I27" i="6"/>
  <c r="H626" i="13" s="1"/>
  <c r="H27" i="6"/>
  <c r="H596" i="13" s="1"/>
  <c r="F27" i="6"/>
  <c r="H536" i="13" s="1"/>
  <c r="E27" i="6"/>
  <c r="H506" i="13" s="1"/>
  <c r="D27" i="6"/>
  <c r="H476" i="13" s="1"/>
  <c r="N26" i="6"/>
  <c r="Q26" i="6" s="1"/>
  <c r="H865" i="13" s="1"/>
  <c r="G26" i="6"/>
  <c r="J26" i="6" s="1"/>
  <c r="H655" i="13" s="1"/>
  <c r="N25" i="6"/>
  <c r="H774" i="13" s="1"/>
  <c r="G25" i="6"/>
  <c r="J25" i="6" s="1"/>
  <c r="H654" i="13" s="1"/>
  <c r="N24" i="6"/>
  <c r="H773" i="13" s="1"/>
  <c r="G24" i="6"/>
  <c r="J24" i="6" s="1"/>
  <c r="H653" i="13" s="1"/>
  <c r="N23" i="6"/>
  <c r="Q23" i="6" s="1"/>
  <c r="H862" i="13" s="1"/>
  <c r="G23" i="6"/>
  <c r="J23" i="6" s="1"/>
  <c r="N22" i="6"/>
  <c r="Q22" i="6" s="1"/>
  <c r="G22" i="6"/>
  <c r="J22" i="6" s="1"/>
  <c r="N21" i="6"/>
  <c r="Q21" i="6" s="1"/>
  <c r="H861" i="13" s="1"/>
  <c r="G21" i="6"/>
  <c r="H561" i="13" s="1"/>
  <c r="N20" i="6"/>
  <c r="H770" i="13" s="1"/>
  <c r="Q20" i="6"/>
  <c r="H860" i="13" s="1"/>
  <c r="G20" i="6"/>
  <c r="H560" i="13" s="1"/>
  <c r="P19" i="6"/>
  <c r="H829" i="13" s="1"/>
  <c r="O19" i="6"/>
  <c r="H799" i="13" s="1"/>
  <c r="M19" i="6"/>
  <c r="H739" i="13" s="1"/>
  <c r="L19" i="6"/>
  <c r="H709" i="13" s="1"/>
  <c r="K19" i="6"/>
  <c r="H679" i="13" s="1"/>
  <c r="I19" i="6"/>
  <c r="H619" i="13" s="1"/>
  <c r="H19" i="6"/>
  <c r="F19" i="6"/>
  <c r="E19" i="6"/>
  <c r="H499" i="13" s="1"/>
  <c r="D19" i="6"/>
  <c r="H469" i="13" s="1"/>
  <c r="N18" i="6"/>
  <c r="Q18" i="6" s="1"/>
  <c r="H858" i="13" s="1"/>
  <c r="G18" i="6"/>
  <c r="N17" i="6"/>
  <c r="G17" i="6"/>
  <c r="N16" i="6"/>
  <c r="H766" i="13" s="1"/>
  <c r="G16" i="6"/>
  <c r="J16" i="6" s="1"/>
  <c r="H646" i="13" s="1"/>
  <c r="N15" i="6"/>
  <c r="Q15" i="6" s="1"/>
  <c r="H855" i="13" s="1"/>
  <c r="G15" i="6"/>
  <c r="H555" i="13" s="1"/>
  <c r="N14" i="6"/>
  <c r="Q14" i="6" s="1"/>
  <c r="H854" i="13" s="1"/>
  <c r="G14" i="6"/>
  <c r="H554" i="13" s="1"/>
  <c r="N13" i="6"/>
  <c r="Q13" i="6" s="1"/>
  <c r="H853" i="13" s="1"/>
  <c r="G13" i="6"/>
  <c r="J13" i="6" s="1"/>
  <c r="N12" i="6"/>
  <c r="H762" i="13" s="1"/>
  <c r="G12" i="6"/>
  <c r="H552" i="13" s="1"/>
  <c r="N11" i="6"/>
  <c r="G11" i="6"/>
  <c r="H551" i="13" s="1"/>
  <c r="L33" i="5"/>
  <c r="H436" i="13" s="1"/>
  <c r="L32" i="5"/>
  <c r="H435" i="13" s="1"/>
  <c r="L30" i="5"/>
  <c r="H433" i="13" s="1"/>
  <c r="L29" i="5"/>
  <c r="H432" i="13" s="1"/>
  <c r="L28" i="5"/>
  <c r="H431" i="13" s="1"/>
  <c r="L27" i="5"/>
  <c r="H430" i="13" s="1"/>
  <c r="M26" i="5"/>
  <c r="H451" i="13" s="1"/>
  <c r="K26" i="5"/>
  <c r="H407" i="13" s="1"/>
  <c r="J26" i="5"/>
  <c r="H385" i="13" s="1"/>
  <c r="I26" i="5"/>
  <c r="H363" i="13" s="1"/>
  <c r="H26" i="5"/>
  <c r="H341" i="13" s="1"/>
  <c r="G26" i="5"/>
  <c r="H319" i="13"/>
  <c r="F26" i="5"/>
  <c r="H297" i="13" s="1"/>
  <c r="E26" i="5"/>
  <c r="H275" i="13" s="1"/>
  <c r="D26" i="5"/>
  <c r="H253" i="13" s="1"/>
  <c r="C26" i="5"/>
  <c r="H231" i="13" s="1"/>
  <c r="L25" i="5"/>
  <c r="H428" i="13" s="1"/>
  <c r="L24" i="5"/>
  <c r="H427" i="13" s="1"/>
  <c r="M23" i="5"/>
  <c r="K23" i="5"/>
  <c r="H404" i="13" s="1"/>
  <c r="J23" i="5"/>
  <c r="H382" i="13" s="1"/>
  <c r="I23" i="5"/>
  <c r="H360" i="13" s="1"/>
  <c r="H23" i="5"/>
  <c r="G23" i="5"/>
  <c r="H316" i="13" s="1"/>
  <c r="F23" i="5"/>
  <c r="H294" i="13" s="1"/>
  <c r="E23" i="5"/>
  <c r="H272" i="13" s="1"/>
  <c r="D23" i="5"/>
  <c r="H250" i="13"/>
  <c r="C23" i="5"/>
  <c r="L22" i="5"/>
  <c r="H425" i="13" s="1"/>
  <c r="L21" i="5"/>
  <c r="H424" i="13" s="1"/>
  <c r="L20" i="5"/>
  <c r="H423" i="13" s="1"/>
  <c r="M19" i="5"/>
  <c r="H444" i="13" s="1"/>
  <c r="K19" i="5"/>
  <c r="J19" i="5"/>
  <c r="H378" i="13" s="1"/>
  <c r="I19" i="5"/>
  <c r="H356" i="13" s="1"/>
  <c r="H19" i="5"/>
  <c r="H334" i="13" s="1"/>
  <c r="G19" i="5"/>
  <c r="H312" i="13" s="1"/>
  <c r="F19" i="5"/>
  <c r="H290" i="13" s="1"/>
  <c r="E19" i="5"/>
  <c r="H268" i="13" s="1"/>
  <c r="D19" i="5"/>
  <c r="C19" i="5"/>
  <c r="H224" i="13" s="1"/>
  <c r="J18" i="5"/>
  <c r="H377" i="13" s="1"/>
  <c r="I18" i="5"/>
  <c r="H355" i="13" s="1"/>
  <c r="L16" i="5"/>
  <c r="H419" i="13" s="1"/>
  <c r="L15" i="5"/>
  <c r="H418" i="13" s="1"/>
  <c r="M14" i="5"/>
  <c r="H439" i="13" s="1"/>
  <c r="K14" i="5"/>
  <c r="H395" i="13" s="1"/>
  <c r="J14" i="5"/>
  <c r="H373" i="13" s="1"/>
  <c r="I14" i="5"/>
  <c r="H351" i="13" s="1"/>
  <c r="H14" i="5"/>
  <c r="G14" i="5"/>
  <c r="H307" i="13" s="1"/>
  <c r="F14" i="5"/>
  <c r="H285" i="13" s="1"/>
  <c r="E14" i="5"/>
  <c r="H263" i="13" s="1"/>
  <c r="D14" i="5"/>
  <c r="H241" i="13"/>
  <c r="C14" i="5"/>
  <c r="M13" i="5"/>
  <c r="H438" i="13" s="1"/>
  <c r="J13" i="5"/>
  <c r="I13" i="5"/>
  <c r="H350" i="13" s="1"/>
  <c r="G13" i="5"/>
  <c r="F13" i="5"/>
  <c r="H284" i="13" s="1"/>
  <c r="E13" i="5"/>
  <c r="D13" i="5"/>
  <c r="D43" i="4"/>
  <c r="C43" i="4"/>
  <c r="H211" i="13" s="1"/>
  <c r="D33" i="4"/>
  <c r="C33" i="4"/>
  <c r="H202" i="13" s="1"/>
  <c r="D21" i="4"/>
  <c r="C21" i="4"/>
  <c r="H191" i="13" s="1"/>
  <c r="D38" i="3"/>
  <c r="C38" i="3"/>
  <c r="H149" i="13" s="1"/>
  <c r="D29" i="3"/>
  <c r="C29" i="3"/>
  <c r="H142" i="13" s="1"/>
  <c r="H27" i="3"/>
  <c r="G27" i="3"/>
  <c r="D22" i="3"/>
  <c r="C22" i="3"/>
  <c r="H137" i="13" s="1"/>
  <c r="H16" i="3"/>
  <c r="G16" i="3"/>
  <c r="D3" i="12" s="1"/>
  <c r="D92" i="2"/>
  <c r="C9" i="11" s="1"/>
  <c r="D9" i="11" s="1"/>
  <c r="C92" i="2"/>
  <c r="H69" i="13" s="1"/>
  <c r="D79" i="2"/>
  <c r="D85" i="2" s="1"/>
  <c r="C79" i="2"/>
  <c r="H58" i="13" s="1"/>
  <c r="D76" i="2"/>
  <c r="C76" i="2"/>
  <c r="D65" i="2"/>
  <c r="C65" i="2"/>
  <c r="H48" i="13" s="1"/>
  <c r="H61" i="2"/>
  <c r="H71" i="2" s="1"/>
  <c r="H79" i="2" s="1"/>
  <c r="G61" i="2"/>
  <c r="G71" i="2" s="1"/>
  <c r="H120" i="13" s="1"/>
  <c r="D52" i="2"/>
  <c r="C52" i="2"/>
  <c r="H38" i="13" s="1"/>
  <c r="H50" i="2"/>
  <c r="H56" i="2" s="1"/>
  <c r="G50" i="2"/>
  <c r="H102" i="13" s="1"/>
  <c r="D40" i="2"/>
  <c r="C40" i="2"/>
  <c r="H27" i="13" s="1"/>
  <c r="D35" i="2"/>
  <c r="C35" i="2"/>
  <c r="H22" i="13" s="1"/>
  <c r="D33" i="2"/>
  <c r="C33" i="2"/>
  <c r="H21" i="13" s="1"/>
  <c r="H28" i="2"/>
  <c r="H34" i="2" s="1"/>
  <c r="G28" i="2"/>
  <c r="G34" i="2" s="1"/>
  <c r="H93" i="13" s="1"/>
  <c r="D28" i="2"/>
  <c r="C28" i="2"/>
  <c r="H22" i="2"/>
  <c r="H26" i="2" s="1"/>
  <c r="G22" i="2"/>
  <c r="D20" i="2"/>
  <c r="C20" i="2"/>
  <c r="H11" i="13" s="1"/>
  <c r="H18" i="2"/>
  <c r="C13" i="5" s="1"/>
  <c r="G18" i="2"/>
  <c r="E7" i="11" s="1"/>
  <c r="K40" i="6"/>
  <c r="H477" i="13"/>
  <c r="H945" i="13"/>
  <c r="D21" i="7"/>
  <c r="H953" i="13" s="1"/>
  <c r="N34" i="6"/>
  <c r="H782" i="13" s="1"/>
  <c r="E15" i="11"/>
  <c r="D14" i="11"/>
  <c r="L18" i="5"/>
  <c r="H421" i="13" s="1"/>
  <c r="C469" i="13"/>
  <c r="C844" i="13"/>
  <c r="C77" i="13"/>
  <c r="C168" i="13"/>
  <c r="C40" i="13"/>
  <c r="C1256" i="13"/>
  <c r="C1228" i="13"/>
  <c r="C1179" i="13"/>
  <c r="C1147" i="13"/>
  <c r="C1079" i="13"/>
  <c r="C1031" i="13"/>
  <c r="C999" i="13"/>
  <c r="C84" i="13"/>
  <c r="C120" i="13"/>
  <c r="C161" i="13"/>
  <c r="C59" i="13"/>
  <c r="C1279" i="13"/>
  <c r="C1227" i="13"/>
  <c r="C1199" i="13"/>
  <c r="C1154" i="13"/>
  <c r="C1130" i="13"/>
  <c r="C1074" i="13"/>
  <c r="C1050" i="13"/>
  <c r="C1002" i="13"/>
  <c r="C978" i="13"/>
  <c r="C96" i="13"/>
  <c r="C142" i="13"/>
  <c r="C38" i="13"/>
  <c r="C1286" i="13"/>
  <c r="C1214" i="13"/>
  <c r="C1173" i="13"/>
  <c r="C1109" i="13"/>
  <c r="C1061" i="13"/>
  <c r="C989" i="13"/>
  <c r="C954" i="13"/>
  <c r="C914" i="13"/>
  <c r="C893" i="13"/>
  <c r="C869" i="13"/>
  <c r="C853" i="13"/>
  <c r="C825" i="13"/>
  <c r="C810" i="13"/>
  <c r="C782" i="13"/>
  <c r="C765" i="13"/>
  <c r="C741" i="13"/>
  <c r="C86" i="13"/>
  <c r="C151" i="13"/>
  <c r="C69" i="13"/>
  <c r="C13" i="13"/>
  <c r="C1277" i="13"/>
  <c r="C1229" i="13"/>
  <c r="C1197" i="13"/>
  <c r="C1140" i="13"/>
  <c r="C1108" i="13"/>
  <c r="C1052" i="13"/>
  <c r="C1020" i="13"/>
  <c r="C972" i="13"/>
  <c r="C949" i="13"/>
  <c r="C921" i="13"/>
  <c r="C904" i="13"/>
  <c r="C876" i="13"/>
  <c r="C860" i="13"/>
  <c r="C121" i="13"/>
  <c r="C154" i="13"/>
  <c r="C42" i="13"/>
  <c r="C10" i="13"/>
  <c r="C1250" i="13"/>
  <c r="C1218" i="13"/>
  <c r="C1169" i="13"/>
  <c r="C1137" i="13"/>
  <c r="C1081" i="13"/>
  <c r="C1049" i="13"/>
  <c r="C993" i="13"/>
  <c r="C961" i="13"/>
  <c r="C936" i="13"/>
  <c r="C920" i="13"/>
  <c r="C891" i="13"/>
  <c r="C875" i="13"/>
  <c r="C847" i="13"/>
  <c r="C831" i="13"/>
  <c r="C808" i="13"/>
  <c r="C792" i="13"/>
  <c r="C763" i="13"/>
  <c r="C747" i="13"/>
  <c r="C684" i="13"/>
  <c r="C640" i="13"/>
  <c r="C574" i="13"/>
  <c r="C531" i="13"/>
  <c r="C453" i="13"/>
  <c r="C409" i="13"/>
  <c r="C171" i="13"/>
  <c r="C1249" i="13"/>
  <c r="C1056" i="13"/>
  <c r="C943" i="13"/>
  <c r="C842" i="13"/>
  <c r="C811" i="13"/>
  <c r="C754" i="13"/>
  <c r="C701" i="13"/>
  <c r="C670" i="13"/>
  <c r="C613" i="13"/>
  <c r="C555" i="13"/>
  <c r="C512" i="13"/>
  <c r="C450" i="13"/>
  <c r="C392" i="13"/>
  <c r="C360" i="13"/>
  <c r="C326" i="13"/>
  <c r="C293" i="13"/>
  <c r="C276" i="13"/>
  <c r="C244" i="13"/>
  <c r="C208" i="13"/>
  <c r="C183" i="13"/>
  <c r="C719" i="13"/>
  <c r="C694" i="13"/>
  <c r="C675" i="13"/>
  <c r="C650" i="13"/>
  <c r="C625" i="13"/>
  <c r="C612" i="13"/>
  <c r="C587" i="13"/>
  <c r="C562" i="13"/>
  <c r="C542" i="13"/>
  <c r="C517" i="13"/>
  <c r="C511" i="13"/>
  <c r="C498" i="13"/>
  <c r="C492" i="13"/>
  <c r="C474" i="13"/>
  <c r="C447" i="13"/>
  <c r="C441" i="13"/>
  <c r="C434" i="13"/>
  <c r="C422" i="13"/>
  <c r="C410" i="13"/>
  <c r="C385" i="13"/>
  <c r="C369" i="13"/>
  <c r="C361" i="13"/>
  <c r="C354" i="13"/>
  <c r="C338" i="13"/>
  <c r="C331" i="13"/>
  <c r="C315" i="13"/>
  <c r="C308" i="13"/>
  <c r="C300" i="13"/>
  <c r="C292" i="13"/>
  <c r="C277" i="13"/>
  <c r="C268" i="13"/>
  <c r="C253" i="13"/>
  <c r="C245" i="13"/>
  <c r="C238" i="13"/>
  <c r="C230" i="13"/>
  <c r="C214" i="13"/>
  <c r="C207" i="13"/>
  <c r="C192" i="13"/>
  <c r="C184" i="13"/>
  <c r="C113" i="13"/>
  <c r="C147" i="13"/>
  <c r="C41" i="13"/>
  <c r="C9" i="13"/>
  <c r="C1241" i="13"/>
  <c r="C1209" i="13"/>
  <c r="C1176" i="13"/>
  <c r="C1144" i="13"/>
  <c r="C1080" i="13"/>
  <c r="C1048" i="13"/>
  <c r="C984" i="13"/>
  <c r="C955" i="13"/>
  <c r="C939" i="13"/>
  <c r="C923" i="13"/>
  <c r="C890" i="13"/>
  <c r="C874" i="13"/>
  <c r="C848" i="13"/>
  <c r="C840" i="13"/>
  <c r="C832" i="13"/>
  <c r="C824" i="13"/>
  <c r="C809" i="13"/>
  <c r="C801" i="13"/>
  <c r="C785" i="13"/>
  <c r="C776" i="13"/>
  <c r="C768" i="13"/>
  <c r="C760" i="13"/>
  <c r="C744" i="13"/>
  <c r="C732" i="13"/>
  <c r="C698" i="13"/>
  <c r="C681" i="13"/>
  <c r="C668" i="13"/>
  <c r="C654" i="13"/>
  <c r="C623" i="13"/>
  <c r="C610" i="13"/>
  <c r="C579" i="13"/>
  <c r="C566" i="13"/>
  <c r="C550" i="13"/>
  <c r="C537" i="13"/>
  <c r="C507" i="13"/>
  <c r="C493" i="13"/>
  <c r="C463" i="13"/>
  <c r="C448" i="13"/>
  <c r="C435" i="13"/>
  <c r="C417" i="13"/>
  <c r="C389" i="13"/>
  <c r="C376" i="13"/>
  <c r="C357" i="13"/>
  <c r="C349" i="13"/>
  <c r="C341" i="13"/>
  <c r="C332" i="13"/>
  <c r="C316" i="13"/>
  <c r="C307" i="13"/>
  <c r="C291" i="13"/>
  <c r="C282" i="13"/>
  <c r="C274" i="13"/>
  <c r="C266" i="13"/>
  <c r="C258" i="13"/>
  <c r="C250" i="13"/>
  <c r="C242" i="13"/>
  <c r="C233" i="13"/>
  <c r="C225" i="13"/>
  <c r="C215" i="13"/>
  <c r="C206" i="13"/>
  <c r="C198" i="13"/>
  <c r="C189" i="13"/>
  <c r="C181" i="13"/>
  <c r="C736" i="13"/>
  <c r="C730" i="13"/>
  <c r="C724" i="13"/>
  <c r="C717" i="13"/>
  <c r="C711" i="13"/>
  <c r="C705" i="13"/>
  <c r="C699" i="13"/>
  <c r="C693" i="13"/>
  <c r="C686" i="13"/>
  <c r="C680" i="13"/>
  <c r="C674" i="13"/>
  <c r="C667" i="13"/>
  <c r="C661" i="13"/>
  <c r="C655" i="13"/>
  <c r="C649" i="13"/>
  <c r="C642" i="13"/>
  <c r="C636" i="13"/>
  <c r="C630" i="13"/>
  <c r="C624" i="13"/>
  <c r="C617" i="13"/>
  <c r="C611" i="13"/>
  <c r="C605" i="13"/>
  <c r="C598" i="13"/>
  <c r="C592" i="13"/>
  <c r="C586" i="13"/>
  <c r="C580" i="13"/>
  <c r="C573" i="13"/>
  <c r="C567" i="13"/>
  <c r="C560" i="13"/>
  <c r="C554" i="13"/>
  <c r="C548" i="13"/>
  <c r="C541" i="13"/>
  <c r="C535" i="13"/>
  <c r="C528" i="13"/>
  <c r="C522" i="13"/>
  <c r="C516" i="13"/>
  <c r="C509" i="13"/>
  <c r="C503" i="13"/>
  <c r="C497" i="13"/>
  <c r="C491" i="13"/>
  <c r="C484" i="13"/>
  <c r="C478" i="13"/>
  <c r="C472" i="13"/>
  <c r="C466" i="13"/>
  <c r="C458" i="13"/>
  <c r="C452" i="13"/>
  <c r="C446" i="13"/>
  <c r="C439" i="13"/>
  <c r="C433" i="13"/>
  <c r="C427" i="13"/>
  <c r="C421" i="13"/>
  <c r="C415" i="13"/>
  <c r="C408" i="13"/>
  <c r="C402" i="13"/>
  <c r="C396" i="13"/>
  <c r="C390" i="13"/>
  <c r="C383" i="13"/>
  <c r="C375" i="13"/>
  <c r="C367" i="13"/>
  <c r="C359" i="13"/>
  <c r="C352" i="13"/>
  <c r="C344" i="13"/>
  <c r="C337" i="13"/>
  <c r="C329" i="13"/>
  <c r="C321" i="13"/>
  <c r="C313" i="13"/>
  <c r="C306" i="13"/>
  <c r="C298" i="13"/>
  <c r="C290" i="13"/>
  <c r="C283" i="13"/>
  <c r="C275" i="13"/>
  <c r="C267" i="13"/>
  <c r="C259" i="13"/>
  <c r="C251" i="13"/>
  <c r="C243" i="13"/>
  <c r="C236" i="13"/>
  <c r="C228" i="13"/>
  <c r="C221" i="13"/>
  <c r="C212" i="13"/>
  <c r="C205" i="13"/>
  <c r="C197" i="13"/>
  <c r="C190" i="13"/>
  <c r="C182" i="13"/>
  <c r="C81" i="13"/>
  <c r="C122" i="13"/>
  <c r="C155" i="13"/>
  <c r="C65" i="13"/>
  <c r="C33" i="13"/>
  <c r="A5" i="8"/>
  <c r="C1265" i="13"/>
  <c r="C1233" i="13"/>
  <c r="C1201" i="13"/>
  <c r="C1168" i="13"/>
  <c r="C1136" i="13"/>
  <c r="C1104" i="13"/>
  <c r="C1072" i="13"/>
  <c r="C1040" i="13"/>
  <c r="C1008" i="13"/>
  <c r="C976" i="13"/>
  <c r="C951" i="13"/>
  <c r="C935" i="13"/>
  <c r="C919" i="13"/>
  <c r="C902" i="13"/>
  <c r="C886" i="13"/>
  <c r="C870" i="13"/>
  <c r="C854" i="13"/>
  <c r="C846" i="13"/>
  <c r="C838" i="13"/>
  <c r="C830" i="13"/>
  <c r="C822" i="13"/>
  <c r="C815" i="13"/>
  <c r="C807" i="13"/>
  <c r="C799" i="13"/>
  <c r="C791" i="13"/>
  <c r="C783" i="13"/>
  <c r="C774" i="13"/>
  <c r="C766" i="13"/>
  <c r="C758" i="13"/>
  <c r="C750" i="13"/>
  <c r="C742" i="13"/>
  <c r="C726" i="13"/>
  <c r="C709" i="13"/>
  <c r="C692" i="13"/>
  <c r="C679" i="13"/>
  <c r="C665" i="13"/>
  <c r="C648" i="13"/>
  <c r="C635" i="13"/>
  <c r="C621" i="13"/>
  <c r="C604" i="13"/>
  <c r="C590" i="13"/>
  <c r="C577" i="13"/>
  <c r="C561" i="13"/>
  <c r="C547" i="13"/>
  <c r="C534" i="13"/>
  <c r="C518" i="13"/>
  <c r="C504" i="13"/>
  <c r="C490" i="13"/>
  <c r="C473" i="13"/>
  <c r="C459" i="13"/>
  <c r="C445" i="13"/>
  <c r="C429" i="13"/>
  <c r="C414" i="13"/>
  <c r="C401" i="13"/>
  <c r="C384" i="13"/>
  <c r="C374" i="13"/>
  <c r="C364" i="13"/>
  <c r="C355" i="13"/>
  <c r="C347" i="13"/>
  <c r="C339" i="13"/>
  <c r="C330" i="13"/>
  <c r="C322" i="13"/>
  <c r="C314" i="13"/>
  <c r="C305" i="13"/>
  <c r="C297" i="13"/>
  <c r="C289" i="13"/>
  <c r="C280" i="13"/>
  <c r="C272" i="13"/>
  <c r="C264" i="13"/>
  <c r="C256" i="13"/>
  <c r="C248" i="13"/>
  <c r="C239" i="13"/>
  <c r="C231" i="13"/>
  <c r="C222" i="13"/>
  <c r="C213" i="13"/>
  <c r="C204" i="13"/>
  <c r="C195" i="13"/>
  <c r="C187" i="13"/>
  <c r="A6" i="4"/>
  <c r="C735" i="13"/>
  <c r="C728" i="13"/>
  <c r="C722" i="13"/>
  <c r="C716" i="13"/>
  <c r="C710" i="13"/>
  <c r="C703" i="13"/>
  <c r="C697" i="13"/>
  <c r="C691" i="13"/>
  <c r="C685" i="13"/>
  <c r="C678" i="13"/>
  <c r="C672" i="13"/>
  <c r="C666" i="13"/>
  <c r="C660" i="13"/>
  <c r="C653" i="13"/>
  <c r="C647" i="13"/>
  <c r="C641" i="13"/>
  <c r="C634" i="13"/>
  <c r="C628" i="13"/>
  <c r="C622" i="13"/>
  <c r="C616" i="13"/>
  <c r="C609" i="13"/>
  <c r="C603" i="13"/>
  <c r="C597" i="13"/>
  <c r="C591" i="13"/>
  <c r="C584" i="13"/>
  <c r="C578" i="13"/>
  <c r="C571" i="13"/>
  <c r="C565" i="13"/>
  <c r="C559" i="13"/>
  <c r="C552" i="13"/>
  <c r="C546" i="13"/>
  <c r="C539" i="13"/>
  <c r="C533" i="13"/>
  <c r="C527" i="13"/>
  <c r="C521" i="13"/>
  <c r="C514" i="13"/>
  <c r="C508" i="13"/>
  <c r="C502" i="13"/>
  <c r="C495" i="13"/>
  <c r="C489" i="13"/>
  <c r="C483" i="13"/>
  <c r="C477" i="13"/>
  <c r="C471" i="13"/>
  <c r="C464" i="13"/>
  <c r="C457" i="13"/>
  <c r="C451" i="13"/>
  <c r="C444" i="13"/>
  <c r="C438" i="13"/>
  <c r="C431" i="13"/>
  <c r="C425" i="13"/>
  <c r="C419" i="13"/>
  <c r="C413" i="13"/>
  <c r="C407" i="13"/>
  <c r="C400" i="13"/>
  <c r="C394" i="13"/>
  <c r="C388" i="13"/>
  <c r="C381" i="13"/>
  <c r="C373" i="13"/>
  <c r="C365" i="13"/>
  <c r="C358" i="13"/>
  <c r="C350" i="13"/>
  <c r="C342" i="13"/>
  <c r="C335" i="13"/>
  <c r="C327" i="13"/>
  <c r="C319" i="13"/>
  <c r="C311" i="13"/>
  <c r="C304" i="13"/>
  <c r="C296" i="13"/>
  <c r="C288" i="13"/>
  <c r="C281" i="13"/>
  <c r="C273" i="13"/>
  <c r="C265" i="13"/>
  <c r="C257" i="13"/>
  <c r="C249" i="13"/>
  <c r="C241" i="13"/>
  <c r="C234" i="13"/>
  <c r="C226" i="13"/>
  <c r="C219" i="13"/>
  <c r="C210" i="13"/>
  <c r="C203" i="13"/>
  <c r="C196" i="13"/>
  <c r="C188" i="13"/>
  <c r="A6" i="5"/>
  <c r="C186" i="13"/>
  <c r="C216" i="13"/>
  <c r="C247" i="13"/>
  <c r="C279" i="13"/>
  <c r="C310" i="13"/>
  <c r="C340" i="13"/>
  <c r="C371" i="13"/>
  <c r="C399" i="13"/>
  <c r="C424" i="13"/>
  <c r="C449" i="13"/>
  <c r="C475" i="13"/>
  <c r="C500" i="13"/>
  <c r="C525" i="13"/>
  <c r="C551" i="13"/>
  <c r="C576" i="13"/>
  <c r="C602" i="13"/>
  <c r="C627" i="13"/>
  <c r="C652" i="13"/>
  <c r="C677" i="13"/>
  <c r="C702" i="13"/>
  <c r="C727" i="13"/>
  <c r="C193" i="13"/>
  <c r="C229" i="13"/>
  <c r="C262" i="13"/>
  <c r="C295" i="13"/>
  <c r="C328" i="13"/>
  <c r="C362" i="13"/>
  <c r="C412" i="13"/>
  <c r="C470" i="13"/>
  <c r="C529" i="13"/>
  <c r="C588" i="13"/>
  <c r="C645" i="13"/>
  <c r="C704" i="13"/>
  <c r="C756" i="13"/>
  <c r="C789" i="13"/>
  <c r="A6" i="3"/>
  <c r="C852" i="13"/>
  <c r="C915" i="13"/>
  <c r="C1000" i="13"/>
  <c r="C1128" i="13"/>
  <c r="C1257" i="13"/>
  <c r="C163" i="13"/>
  <c r="C194" i="13"/>
  <c r="C224" i="13"/>
  <c r="C255" i="13"/>
  <c r="C286" i="13"/>
  <c r="C317" i="13"/>
  <c r="C348" i="13"/>
  <c r="C379" i="13"/>
  <c r="C405" i="13"/>
  <c r="C430" i="13"/>
  <c r="C455" i="13"/>
  <c r="C481" i="13"/>
  <c r="C506" i="13"/>
  <c r="C532" i="13"/>
  <c r="C557" i="13"/>
  <c r="C583" i="13"/>
  <c r="C608" i="13"/>
  <c r="C633" i="13"/>
  <c r="C658" i="13"/>
  <c r="C683" i="13"/>
  <c r="C708" i="13"/>
  <c r="C733" i="13"/>
  <c r="C202" i="13"/>
  <c r="C237" i="13"/>
  <c r="C270" i="13"/>
  <c r="C303" i="13"/>
  <c r="C336" i="13"/>
  <c r="C372" i="13"/>
  <c r="C426" i="13"/>
  <c r="C485" i="13"/>
  <c r="C545" i="13"/>
  <c r="C601" i="13"/>
  <c r="C659" i="13"/>
  <c r="C720" i="13"/>
  <c r="C764" i="13"/>
  <c r="C797" i="13"/>
  <c r="C828" i="13"/>
  <c r="C866" i="13"/>
  <c r="C931" i="13"/>
  <c r="C1032" i="13"/>
  <c r="C1160" i="13"/>
  <c r="C1289" i="13"/>
  <c r="C131" i="13"/>
  <c r="H306" i="13"/>
  <c r="G17" i="5"/>
  <c r="G31" i="5" s="1"/>
  <c r="H338" i="13"/>
  <c r="H262" i="13"/>
  <c r="H687" i="13"/>
  <c r="H1051" i="13"/>
  <c r="D68" i="7"/>
  <c r="H1065" i="13" s="1"/>
  <c r="H1112" i="13"/>
  <c r="H1266" i="13"/>
  <c r="H228" i="13"/>
  <c r="H1117" i="13"/>
  <c r="E77" i="7"/>
  <c r="H1114" i="13" s="1"/>
  <c r="H553" i="13"/>
  <c r="H786" i="13"/>
  <c r="Q38" i="6"/>
  <c r="H876" i="13" s="1"/>
  <c r="H556" i="13" l="1"/>
  <c r="J12" i="6"/>
  <c r="J11" i="6"/>
  <c r="H641" i="13" s="1"/>
  <c r="C99" i="13"/>
  <c r="C382" i="13"/>
  <c r="C947" i="13"/>
  <c r="C572" i="13"/>
  <c r="C12" i="13"/>
  <c r="C671" i="13"/>
  <c r="C11" i="13"/>
  <c r="C1107" i="13"/>
  <c r="C144" i="13"/>
  <c r="C386" i="13"/>
  <c r="C714" i="13"/>
  <c r="I18" i="8"/>
  <c r="H1286" i="13" s="1"/>
  <c r="H768" i="13"/>
  <c r="C10" i="11"/>
  <c r="M17" i="5"/>
  <c r="H442" i="13" s="1"/>
  <c r="H310" i="13"/>
  <c r="H775" i="13"/>
  <c r="N27" i="6"/>
  <c r="Q27" i="6" s="1"/>
  <c r="H866" i="13" s="1"/>
  <c r="R22" i="6"/>
  <c r="H771" i="13"/>
  <c r="J14" i="6"/>
  <c r="H644" i="13" s="1"/>
  <c r="H564" i="13"/>
  <c r="H783" i="13"/>
  <c r="H781" i="13"/>
  <c r="D15" i="11"/>
  <c r="J17" i="5"/>
  <c r="H376" i="13" s="1"/>
  <c r="M40" i="6"/>
  <c r="H758" i="13" s="1"/>
  <c r="J39" i="6"/>
  <c r="R39" i="6" s="1"/>
  <c r="H907" i="13" s="1"/>
  <c r="H787" i="13"/>
  <c r="K17" i="5"/>
  <c r="H398" i="13" s="1"/>
  <c r="J31" i="6"/>
  <c r="H659" i="13" s="1"/>
  <c r="H569" i="13"/>
  <c r="H842" i="13"/>
  <c r="P40" i="6"/>
  <c r="H848" i="13" s="1"/>
  <c r="Q34" i="6"/>
  <c r="H872" i="13" s="1"/>
  <c r="H1172" i="13"/>
  <c r="F87" i="7"/>
  <c r="H1193" i="13"/>
  <c r="F107" i="7"/>
  <c r="H1195" i="13" s="1"/>
  <c r="H997" i="13"/>
  <c r="E35" i="7"/>
  <c r="H996" i="13" s="1"/>
  <c r="H40" i="6"/>
  <c r="H608" i="13" s="1"/>
  <c r="L14" i="5"/>
  <c r="H417" i="13" s="1"/>
  <c r="C299" i="13"/>
  <c r="C366" i="13"/>
  <c r="C479" i="13"/>
  <c r="C593" i="13"/>
  <c r="C712" i="13"/>
  <c r="C793" i="13"/>
  <c r="C858" i="13"/>
  <c r="C1016" i="13"/>
  <c r="C1273" i="13"/>
  <c r="C199" i="13"/>
  <c r="C261" i="13"/>
  <c r="C323" i="13"/>
  <c r="C391" i="13"/>
  <c r="C461" i="13"/>
  <c r="C524" i="13"/>
  <c r="C594" i="13"/>
  <c r="C663" i="13"/>
  <c r="C725" i="13"/>
  <c r="C252" i="13"/>
  <c r="C343" i="13"/>
  <c r="C468" i="13"/>
  <c r="C626" i="13"/>
  <c r="C770" i="13"/>
  <c r="C850" i="13"/>
  <c r="C1088" i="13"/>
  <c r="C102" i="13"/>
  <c r="C465" i="13"/>
  <c r="C585" i="13"/>
  <c r="C707" i="13"/>
  <c r="C767" i="13"/>
  <c r="C812" i="13"/>
  <c r="C855" i="13"/>
  <c r="C895" i="13"/>
  <c r="C940" i="13"/>
  <c r="C1009" i="13"/>
  <c r="C1089" i="13"/>
  <c r="C1177" i="13"/>
  <c r="C1266" i="13"/>
  <c r="C50" i="13"/>
  <c r="C112" i="13"/>
  <c r="C884" i="13"/>
  <c r="C925" i="13"/>
  <c r="C980" i="13"/>
  <c r="C1068" i="13"/>
  <c r="C1148" i="13"/>
  <c r="C1237" i="13"/>
  <c r="C29" i="13"/>
  <c r="C143" i="13"/>
  <c r="C745" i="13"/>
  <c r="C790" i="13"/>
  <c r="C829" i="13"/>
  <c r="C873" i="13"/>
  <c r="C926" i="13"/>
  <c r="C997" i="13"/>
  <c r="C1117" i="13"/>
  <c r="C1238" i="13"/>
  <c r="C46" i="13"/>
  <c r="C74" i="13"/>
  <c r="C1010" i="13"/>
  <c r="C1086" i="13"/>
  <c r="C1162" i="13"/>
  <c r="C1243" i="13"/>
  <c r="C15" i="13"/>
  <c r="C157" i="13"/>
  <c r="C967" i="13"/>
  <c r="C1035" i="13"/>
  <c r="C1115" i="13"/>
  <c r="C1191" i="13"/>
  <c r="C1268" i="13"/>
  <c r="C44" i="13"/>
  <c r="C128" i="13"/>
  <c r="C91" i="13"/>
  <c r="C353" i="13"/>
  <c r="C418" i="13"/>
  <c r="C462" i="13"/>
  <c r="C440" i="13"/>
  <c r="J35" i="6"/>
  <c r="H663" i="13" s="1"/>
  <c r="C397" i="13"/>
  <c r="C467" i="13"/>
  <c r="C536" i="13"/>
  <c r="C600" i="13"/>
  <c r="C669" i="13"/>
  <c r="C739" i="13"/>
  <c r="C260" i="13"/>
  <c r="C351" i="13"/>
  <c r="C496" i="13"/>
  <c r="C643" i="13"/>
  <c r="C778" i="13"/>
  <c r="C878" i="13"/>
  <c r="C1120" i="13"/>
  <c r="C370" i="13"/>
  <c r="C488" i="13"/>
  <c r="C596" i="13"/>
  <c r="C718" i="13"/>
  <c r="C775" i="13"/>
  <c r="C816" i="13"/>
  <c r="C859" i="13"/>
  <c r="C903" i="13"/>
  <c r="C944" i="13"/>
  <c r="C1017" i="13"/>
  <c r="C1105" i="13"/>
  <c r="C1185" i="13"/>
  <c r="C1274" i="13"/>
  <c r="C66" i="13"/>
  <c r="C101" i="13"/>
  <c r="C888" i="13"/>
  <c r="C933" i="13"/>
  <c r="C988" i="13"/>
  <c r="C1076" i="13"/>
  <c r="C1164" i="13"/>
  <c r="C1245" i="13"/>
  <c r="C37" i="13"/>
  <c r="C127" i="13"/>
  <c r="C749" i="13"/>
  <c r="C794" i="13"/>
  <c r="C837" i="13"/>
  <c r="C877" i="13"/>
  <c r="C930" i="13"/>
  <c r="C1021" i="13"/>
  <c r="C1125" i="13"/>
  <c r="C1246" i="13"/>
  <c r="C70" i="13"/>
  <c r="C958" i="13"/>
  <c r="C1022" i="13"/>
  <c r="C1098" i="13"/>
  <c r="C1170" i="13"/>
  <c r="C1247" i="13"/>
  <c r="C31" i="13"/>
  <c r="C153" i="13"/>
  <c r="C971" i="13"/>
  <c r="C1051" i="13"/>
  <c r="C1123" i="13"/>
  <c r="C1204" i="13"/>
  <c r="C1276" i="13"/>
  <c r="C56" i="13"/>
  <c r="C119" i="13"/>
  <c r="C75" i="13"/>
  <c r="C287" i="13"/>
  <c r="C302" i="13"/>
  <c r="C513" i="13"/>
  <c r="C615" i="13"/>
  <c r="K31" i="5"/>
  <c r="K34" i="5" s="1"/>
  <c r="H415" i="13" s="1"/>
  <c r="C787" i="13"/>
  <c r="C894" i="13"/>
  <c r="C1184" i="13"/>
  <c r="C378" i="13"/>
  <c r="C499" i="13"/>
  <c r="C618" i="13"/>
  <c r="C729" i="13"/>
  <c r="C779" i="13"/>
  <c r="C823" i="13"/>
  <c r="C863" i="13"/>
  <c r="C907" i="13"/>
  <c r="C952" i="13"/>
  <c r="C1025" i="13"/>
  <c r="C1113" i="13"/>
  <c r="C1202" i="13"/>
  <c r="C1282" i="13"/>
  <c r="C178" i="13"/>
  <c r="C80" i="13"/>
  <c r="C892" i="13"/>
  <c r="C937" i="13"/>
  <c r="C1004" i="13"/>
  <c r="C1084" i="13"/>
  <c r="C1172" i="13"/>
  <c r="C1261" i="13"/>
  <c r="C45" i="13"/>
  <c r="C118" i="13"/>
  <c r="C757" i="13"/>
  <c r="C798" i="13"/>
  <c r="C841" i="13"/>
  <c r="C885" i="13"/>
  <c r="C938" i="13"/>
  <c r="C1029" i="13"/>
  <c r="C1149" i="13"/>
  <c r="C1254" i="13"/>
  <c r="C174" i="13"/>
  <c r="C970" i="13"/>
  <c r="C1026" i="13"/>
  <c r="C1106" i="13"/>
  <c r="C1182" i="13"/>
  <c r="C1259" i="13"/>
  <c r="C35" i="13"/>
  <c r="C137" i="13"/>
  <c r="C979" i="13"/>
  <c r="C1059" i="13"/>
  <c r="C1139" i="13"/>
  <c r="C1208" i="13"/>
  <c r="C1288" i="13"/>
  <c r="C68" i="13"/>
  <c r="C109" i="13"/>
  <c r="C1225" i="13"/>
  <c r="C254" i="13"/>
  <c r="C271" i="13"/>
  <c r="C589" i="13"/>
  <c r="C772" i="13"/>
  <c r="C324" i="13"/>
  <c r="C403" i="13"/>
  <c r="C523" i="13"/>
  <c r="C638" i="13"/>
  <c r="C752" i="13"/>
  <c r="C817" i="13"/>
  <c r="C906" i="13"/>
  <c r="C1112" i="13"/>
  <c r="C179" i="13"/>
  <c r="C223" i="13"/>
  <c r="C285" i="13"/>
  <c r="C346" i="13"/>
  <c r="C416" i="13"/>
  <c r="C486" i="13"/>
  <c r="C549" i="13"/>
  <c r="C619" i="13"/>
  <c r="C688" i="13"/>
  <c r="C191" i="13"/>
  <c r="C284" i="13"/>
  <c r="C380" i="13"/>
  <c r="C526" i="13"/>
  <c r="C687" i="13"/>
  <c r="C803" i="13"/>
  <c r="C910" i="13"/>
  <c r="C1217" i="13"/>
  <c r="C398" i="13"/>
  <c r="C510" i="13"/>
  <c r="C629" i="13"/>
  <c r="C743" i="13"/>
  <c r="C784" i="13"/>
  <c r="C827" i="13"/>
  <c r="C871" i="13"/>
  <c r="C912" i="13"/>
  <c r="C956" i="13"/>
  <c r="C1041" i="13"/>
  <c r="C1121" i="13"/>
  <c r="C1210" i="13"/>
  <c r="A6" i="2"/>
  <c r="C170" i="13"/>
  <c r="C856" i="13"/>
  <c r="C900" i="13"/>
  <c r="C941" i="13"/>
  <c r="C1012" i="13"/>
  <c r="C1100" i="13"/>
  <c r="C1180" i="13"/>
  <c r="C1269" i="13"/>
  <c r="C61" i="13"/>
  <c r="C108" i="13"/>
  <c r="C761" i="13"/>
  <c r="C806" i="13"/>
  <c r="C845" i="13"/>
  <c r="C889" i="13"/>
  <c r="C946" i="13"/>
  <c r="C1045" i="13"/>
  <c r="C1157" i="13"/>
  <c r="C1278" i="13"/>
  <c r="C166" i="13"/>
  <c r="C974" i="13"/>
  <c r="C1042" i="13"/>
  <c r="C1114" i="13"/>
  <c r="C1194" i="13"/>
  <c r="C1267" i="13"/>
  <c r="C47" i="13"/>
  <c r="C129" i="13"/>
  <c r="C995" i="13"/>
  <c r="C1063" i="13"/>
  <c r="C1143" i="13"/>
  <c r="C1224" i="13"/>
  <c r="C1292" i="13"/>
  <c r="C176" i="13"/>
  <c r="C93" i="13"/>
  <c r="C1096" i="13"/>
  <c r="C696" i="13"/>
  <c r="C240" i="13"/>
  <c r="C614" i="13"/>
  <c r="C836" i="13"/>
  <c r="E18" i="7"/>
  <c r="H982" i="13" s="1"/>
  <c r="C568" i="13"/>
  <c r="C637" i="13"/>
  <c r="C700" i="13"/>
  <c r="C218" i="13"/>
  <c r="C309" i="13"/>
  <c r="C406" i="13"/>
  <c r="C569" i="13"/>
  <c r="C737" i="13"/>
  <c r="C819" i="13"/>
  <c r="C960" i="13"/>
  <c r="C17" i="13"/>
  <c r="C420" i="13"/>
  <c r="C543" i="13"/>
  <c r="C662" i="13"/>
  <c r="C751" i="13"/>
  <c r="C796" i="13"/>
  <c r="C839" i="13"/>
  <c r="C879" i="13"/>
  <c r="C924" i="13"/>
  <c r="C977" i="13"/>
  <c r="C1057" i="13"/>
  <c r="C1145" i="13"/>
  <c r="C1234" i="13"/>
  <c r="C18" i="13"/>
  <c r="C146" i="13"/>
  <c r="C868" i="13"/>
  <c r="C908" i="13"/>
  <c r="C953" i="13"/>
  <c r="C1036" i="13"/>
  <c r="C1116" i="13"/>
  <c r="C1205" i="13"/>
  <c r="C1293" i="13"/>
  <c r="C175" i="13"/>
  <c r="C76" i="13"/>
  <c r="C773" i="13"/>
  <c r="C814" i="13"/>
  <c r="C857" i="13"/>
  <c r="C905" i="13"/>
  <c r="C959" i="13"/>
  <c r="C1077" i="13"/>
  <c r="C1189" i="13"/>
  <c r="C6" i="13"/>
  <c r="C134" i="13"/>
  <c r="C990" i="13"/>
  <c r="C1054" i="13"/>
  <c r="C1134" i="13"/>
  <c r="C1215" i="13"/>
  <c r="C1283" i="13"/>
  <c r="C67" i="13"/>
  <c r="C105" i="13"/>
  <c r="C1011" i="13"/>
  <c r="C1083" i="13"/>
  <c r="C1163" i="13"/>
  <c r="C1236" i="13"/>
  <c r="C20" i="13"/>
  <c r="C152" i="13"/>
  <c r="A3" i="11"/>
  <c r="C780" i="13"/>
  <c r="C595" i="13"/>
  <c r="C232" i="13"/>
  <c r="C211" i="13"/>
  <c r="C92" i="13"/>
  <c r="C575" i="13"/>
  <c r="C644" i="13"/>
  <c r="C713" i="13"/>
  <c r="C227" i="13"/>
  <c r="C318" i="13"/>
  <c r="C437" i="13"/>
  <c r="C582" i="13"/>
  <c r="C746" i="13"/>
  <c r="C834" i="13"/>
  <c r="C992" i="13"/>
  <c r="C49" i="13"/>
  <c r="C442" i="13"/>
  <c r="C553" i="13"/>
  <c r="C673" i="13"/>
  <c r="C759" i="13"/>
  <c r="C800" i="13"/>
  <c r="C843" i="13"/>
  <c r="C887" i="13"/>
  <c r="C928" i="13"/>
  <c r="C985" i="13"/>
  <c r="C1073" i="13"/>
  <c r="C1153" i="13"/>
  <c r="C1242" i="13"/>
  <c r="C34" i="13"/>
  <c r="C138" i="13"/>
  <c r="C872" i="13"/>
  <c r="C917" i="13"/>
  <c r="C957" i="13"/>
  <c r="C1044" i="13"/>
  <c r="C1132" i="13"/>
  <c r="C1213" i="13"/>
  <c r="C5" i="13"/>
  <c r="C159" i="13"/>
  <c r="C723" i="13"/>
  <c r="C777" i="13"/>
  <c r="C821" i="13"/>
  <c r="C861" i="13"/>
  <c r="C909" i="13"/>
  <c r="C981" i="13"/>
  <c r="C1085" i="13"/>
  <c r="C1206" i="13"/>
  <c r="C22" i="13"/>
  <c r="C117" i="13"/>
  <c r="C994" i="13"/>
  <c r="C1070" i="13"/>
  <c r="C1138" i="13"/>
  <c r="C1219" i="13"/>
  <c r="C3" i="13"/>
  <c r="C177" i="13"/>
  <c r="C89" i="13"/>
  <c r="C1019" i="13"/>
  <c r="C1095" i="13"/>
  <c r="C1171" i="13"/>
  <c r="C1252" i="13"/>
  <c r="C24" i="13"/>
  <c r="C148" i="13"/>
  <c r="C103" i="13"/>
  <c r="C632" i="13"/>
  <c r="C519" i="13"/>
  <c r="C356" i="13"/>
  <c r="N29" i="6"/>
  <c r="G29" i="6"/>
  <c r="H567" i="13" s="1"/>
  <c r="C44" i="4"/>
  <c r="C46" i="4" s="1"/>
  <c r="H772" i="13"/>
  <c r="H562" i="13"/>
  <c r="G27" i="6"/>
  <c r="J27" i="6" s="1"/>
  <c r="H656" i="13" s="1"/>
  <c r="J20" i="6"/>
  <c r="R20" i="6" s="1"/>
  <c r="H890" i="13" s="1"/>
  <c r="N19" i="6"/>
  <c r="Q19" i="6" s="1"/>
  <c r="H859" i="13" s="1"/>
  <c r="H763" i="13"/>
  <c r="E26" i="7"/>
  <c r="H987" i="13" s="1"/>
  <c r="H589" i="13"/>
  <c r="Q29" i="6"/>
  <c r="H867" i="13" s="1"/>
  <c r="H777" i="13"/>
  <c r="H324" i="13"/>
  <c r="G34" i="5"/>
  <c r="H327" i="13" s="1"/>
  <c r="M31" i="5"/>
  <c r="H456" i="13" s="1"/>
  <c r="L40" i="6"/>
  <c r="N40" i="6" s="1"/>
  <c r="H219" i="13"/>
  <c r="R13" i="6"/>
  <c r="H883" i="13" s="1"/>
  <c r="Q12" i="6"/>
  <c r="H852" i="13" s="1"/>
  <c r="H372" i="13"/>
  <c r="J15" i="6"/>
  <c r="H645" i="13" s="1"/>
  <c r="H784" i="13"/>
  <c r="F68" i="7"/>
  <c r="H1151" i="13" s="1"/>
  <c r="E82" i="7"/>
  <c r="H1119" i="13" s="1"/>
  <c r="B52" i="3"/>
  <c r="E40" i="6"/>
  <c r="H518" i="13" s="1"/>
  <c r="E40" i="7"/>
  <c r="H1001" i="13" s="1"/>
  <c r="Q31" i="6"/>
  <c r="H869" i="13" s="1"/>
  <c r="B40" i="5"/>
  <c r="I27" i="8"/>
  <c r="H1294" i="13" s="1"/>
  <c r="E13" i="7"/>
  <c r="H977" i="13" s="1"/>
  <c r="H918" i="13"/>
  <c r="H400" i="13"/>
  <c r="H765" i="13"/>
  <c r="H568" i="13"/>
  <c r="D13" i="11"/>
  <c r="B111" i="7"/>
  <c r="I17" i="5"/>
  <c r="H354" i="13" s="1"/>
  <c r="D45" i="7"/>
  <c r="E17" i="5"/>
  <c r="H266" i="13" s="1"/>
  <c r="D40" i="6"/>
  <c r="D42" i="6" s="1"/>
  <c r="H490" i="13" s="1"/>
  <c r="M42" i="6"/>
  <c r="H760" i="13" s="1"/>
  <c r="R32" i="6"/>
  <c r="H900" i="13" s="1"/>
  <c r="R38" i="6"/>
  <c r="H906" i="13" s="1"/>
  <c r="H785" i="13"/>
  <c r="L23" i="5"/>
  <c r="H426" i="13" s="1"/>
  <c r="E73" i="7"/>
  <c r="H1110" i="13" s="1"/>
  <c r="Q25" i="6"/>
  <c r="R25" i="6" s="1"/>
  <c r="H894" i="13" s="1"/>
  <c r="D87" i="7"/>
  <c r="H1081" i="13" s="1"/>
  <c r="C85" i="2"/>
  <c r="H64" i="13" s="1"/>
  <c r="Q30" i="6"/>
  <c r="H868" i="13" s="1"/>
  <c r="H780" i="13"/>
  <c r="J31" i="5"/>
  <c r="J34" i="5" s="1"/>
  <c r="H393" i="13" s="1"/>
  <c r="E58" i="7"/>
  <c r="H1098" i="13" s="1"/>
  <c r="H574" i="13"/>
  <c r="C45" i="7"/>
  <c r="C21" i="7"/>
  <c r="H921" i="13" s="1"/>
  <c r="H110" i="13"/>
  <c r="G79" i="2"/>
  <c r="D11" i="12" s="1"/>
  <c r="G56" i="2"/>
  <c r="H107" i="13" s="1"/>
  <c r="Q24" i="6"/>
  <c r="H863" i="13" s="1"/>
  <c r="Q16" i="6"/>
  <c r="H764" i="13"/>
  <c r="H652" i="13"/>
  <c r="R23" i="6"/>
  <c r="H892" i="13" s="1"/>
  <c r="H565" i="13"/>
  <c r="H563" i="13"/>
  <c r="J21" i="6"/>
  <c r="H643" i="13"/>
  <c r="J41" i="6"/>
  <c r="H669" i="13" s="1"/>
  <c r="R33" i="6"/>
  <c r="H901" i="13" s="1"/>
  <c r="H571" i="13"/>
  <c r="H570" i="13"/>
  <c r="A5" i="9"/>
  <c r="A5" i="10"/>
  <c r="C25" i="13"/>
  <c r="C882" i="13"/>
  <c r="C740" i="13"/>
  <c r="C501" i="13"/>
  <c r="C312" i="13"/>
  <c r="C781" i="13"/>
  <c r="C639" i="13"/>
  <c r="C538" i="13"/>
  <c r="C436" i="13"/>
  <c r="C325" i="13"/>
  <c r="C201" i="13"/>
  <c r="C209" i="13"/>
  <c r="C333" i="13"/>
  <c r="C443" i="13"/>
  <c r="C544" i="13"/>
  <c r="C646" i="13"/>
  <c r="C185" i="13"/>
  <c r="C320" i="13"/>
  <c r="C515" i="13"/>
  <c r="C748" i="13"/>
  <c r="C898" i="13"/>
  <c r="C79" i="13"/>
  <c r="C95" i="13"/>
  <c r="C111" i="13"/>
  <c r="C82" i="13"/>
  <c r="C104" i="13"/>
  <c r="C123" i="13"/>
  <c r="C140" i="13"/>
  <c r="C156" i="13"/>
  <c r="C172" i="13"/>
  <c r="C64" i="13"/>
  <c r="C48" i="13"/>
  <c r="C32" i="13"/>
  <c r="C16" i="13"/>
  <c r="A5" i="7"/>
  <c r="C1280" i="13"/>
  <c r="C1264" i="13"/>
  <c r="C1248" i="13"/>
  <c r="C1232" i="13"/>
  <c r="C1216" i="13"/>
  <c r="C1200" i="13"/>
  <c r="C1183" i="13"/>
  <c r="C1167" i="13"/>
  <c r="C1151" i="13"/>
  <c r="C1135" i="13"/>
  <c r="C1119" i="13"/>
  <c r="C1103" i="13"/>
  <c r="C1087" i="13"/>
  <c r="C1071" i="13"/>
  <c r="C1055" i="13"/>
  <c r="C1039" i="13"/>
  <c r="C1023" i="13"/>
  <c r="C1007" i="13"/>
  <c r="C991" i="13"/>
  <c r="C975" i="13"/>
  <c r="C73" i="13"/>
  <c r="C94" i="13"/>
  <c r="C116" i="13"/>
  <c r="C133" i="13"/>
  <c r="C149" i="13"/>
  <c r="C165" i="13"/>
  <c r="C71" i="13"/>
  <c r="C55" i="13"/>
  <c r="C39" i="13"/>
  <c r="C23" i="13"/>
  <c r="C7" i="13"/>
  <c r="C1287" i="13"/>
  <c r="C1271" i="13"/>
  <c r="C1255" i="13"/>
  <c r="C1239" i="13"/>
  <c r="C1223" i="13"/>
  <c r="C1207" i="13"/>
  <c r="C1190" i="13"/>
  <c r="C1174" i="13"/>
  <c r="C1158" i="13"/>
  <c r="C1142" i="13"/>
  <c r="C1126" i="13"/>
  <c r="C1110" i="13"/>
  <c r="C1094" i="13"/>
  <c r="C1078" i="13"/>
  <c r="C1062" i="13"/>
  <c r="C1046" i="13"/>
  <c r="C1030" i="13"/>
  <c r="C1014" i="13"/>
  <c r="C1192" i="13"/>
  <c r="C805" i="13"/>
  <c r="C558" i="13"/>
  <c r="C278" i="13"/>
  <c r="C689" i="13"/>
  <c r="C564" i="13"/>
  <c r="C411" i="13"/>
  <c r="C263" i="13"/>
  <c r="C363" i="13"/>
  <c r="C494" i="13"/>
  <c r="C620" i="13"/>
  <c r="C220" i="13"/>
  <c r="C395" i="13"/>
  <c r="C690" i="13"/>
  <c r="C968" i="13"/>
  <c r="C87" i="13"/>
  <c r="C107" i="13"/>
  <c r="C88" i="13"/>
  <c r="C114" i="13"/>
  <c r="C136" i="13"/>
  <c r="C160" i="13"/>
  <c r="C72" i="13"/>
  <c r="C52" i="13"/>
  <c r="C28" i="13"/>
  <c r="C8" i="13"/>
  <c r="C1284" i="13"/>
  <c r="C1260" i="13"/>
  <c r="C1240" i="13"/>
  <c r="C1220" i="13"/>
  <c r="C1195" i="13"/>
  <c r="C1175" i="13"/>
  <c r="C1155" i="13"/>
  <c r="C1131" i="13"/>
  <c r="C1111" i="13"/>
  <c r="C1091" i="13"/>
  <c r="C1067" i="13"/>
  <c r="C1047" i="13"/>
  <c r="C1027" i="13"/>
  <c r="C1003" i="13"/>
  <c r="C983" i="13"/>
  <c r="C963" i="13"/>
  <c r="C100" i="13"/>
  <c r="C124" i="13"/>
  <c r="C145" i="13"/>
  <c r="C169" i="13"/>
  <c r="C63" i="13"/>
  <c r="C43" i="13"/>
  <c r="C19" i="13"/>
  <c r="A5" i="6"/>
  <c r="C1275" i="13"/>
  <c r="C1251" i="13"/>
  <c r="C1231" i="13"/>
  <c r="C1211" i="13"/>
  <c r="C1186" i="13"/>
  <c r="C1166" i="13"/>
  <c r="C1146" i="13"/>
  <c r="C1122" i="13"/>
  <c r="C1102" i="13"/>
  <c r="C1082" i="13"/>
  <c r="C1058" i="13"/>
  <c r="C1038" i="13"/>
  <c r="C1018" i="13"/>
  <c r="C998" i="13"/>
  <c r="C982" i="13"/>
  <c r="C966" i="13"/>
  <c r="C85" i="13"/>
  <c r="C125" i="13"/>
  <c r="C158" i="13"/>
  <c r="C62" i="13"/>
  <c r="C30" i="13"/>
  <c r="C1294" i="13"/>
  <c r="C1262" i="13"/>
  <c r="C1230" i="13"/>
  <c r="C1198" i="13"/>
  <c r="C1165" i="13"/>
  <c r="C1133" i="13"/>
  <c r="C1101" i="13"/>
  <c r="C1069" i="13"/>
  <c r="C1037" i="13"/>
  <c r="C1005" i="13"/>
  <c r="C973" i="13"/>
  <c r="C950" i="13"/>
  <c r="C934" i="13"/>
  <c r="C918" i="13"/>
  <c r="C901" i="13"/>
  <c r="C1064" i="13"/>
  <c r="C676" i="13"/>
  <c r="C345" i="13"/>
  <c r="C664" i="13"/>
  <c r="C487" i="13"/>
  <c r="C294" i="13"/>
  <c r="C393" i="13"/>
  <c r="C570" i="13"/>
  <c r="C721" i="13"/>
  <c r="C456" i="13"/>
  <c r="C813" i="13"/>
  <c r="C83" i="13"/>
  <c r="C115" i="13"/>
  <c r="C98" i="13"/>
  <c r="C132" i="13"/>
  <c r="C164" i="13"/>
  <c r="C60" i="13"/>
  <c r="C36" i="13"/>
  <c r="C4" i="13"/>
  <c r="C1272" i="13"/>
  <c r="C1244" i="13"/>
  <c r="C1212" i="13"/>
  <c r="C1187" i="13"/>
  <c r="C1159" i="13"/>
  <c r="C1127" i="13"/>
  <c r="C1099" i="13"/>
  <c r="C1075" i="13"/>
  <c r="C1043" i="13"/>
  <c r="C1015" i="13"/>
  <c r="C987" i="13"/>
  <c r="C78" i="13"/>
  <c r="C110" i="13"/>
  <c r="C141" i="13"/>
  <c r="C173" i="13"/>
  <c r="C51" i="13"/>
  <c r="C27" i="13"/>
  <c r="C1291" i="13"/>
  <c r="C1263" i="13"/>
  <c r="C1235" i="13"/>
  <c r="C1203" i="13"/>
  <c r="C1178" i="13"/>
  <c r="C1150" i="13"/>
  <c r="C1118" i="13"/>
  <c r="C1090" i="13"/>
  <c r="C1066" i="13"/>
  <c r="C1034" i="13"/>
  <c r="C1006" i="13"/>
  <c r="C986" i="13"/>
  <c r="C962" i="13"/>
  <c r="C106" i="13"/>
  <c r="C150" i="13"/>
  <c r="C54" i="13"/>
  <c r="C14" i="13"/>
  <c r="C1270" i="13"/>
  <c r="C1222" i="13"/>
  <c r="C1181" i="13"/>
  <c r="C1141" i="13"/>
  <c r="C1093" i="13"/>
  <c r="C1053" i="13"/>
  <c r="C1013" i="13"/>
  <c r="C965" i="13"/>
  <c r="C942" i="13"/>
  <c r="C922" i="13"/>
  <c r="C897" i="13"/>
  <c r="C881" i="13"/>
  <c r="C865" i="13"/>
  <c r="C849" i="13"/>
  <c r="C833" i="13"/>
  <c r="C818" i="13"/>
  <c r="C802" i="13"/>
  <c r="C786" i="13"/>
  <c r="C769" i="13"/>
  <c r="C753" i="13"/>
  <c r="C734" i="13"/>
  <c r="C97" i="13"/>
  <c r="C135" i="13"/>
  <c r="C167" i="13"/>
  <c r="C53" i="13"/>
  <c r="C21" i="13"/>
  <c r="C1285" i="13"/>
  <c r="C1253" i="13"/>
  <c r="C1221" i="13"/>
  <c r="C1188" i="13"/>
  <c r="C1156" i="13"/>
  <c r="C1124" i="13"/>
  <c r="C1092" i="13"/>
  <c r="C1060" i="13"/>
  <c r="C1028" i="13"/>
  <c r="C996" i="13"/>
  <c r="C964" i="13"/>
  <c r="C945" i="13"/>
  <c r="C929" i="13"/>
  <c r="C913" i="13"/>
  <c r="C896" i="13"/>
  <c r="C880" i="13"/>
  <c r="C864" i="13"/>
  <c r="C90" i="13"/>
  <c r="C130" i="13"/>
  <c r="C162" i="13"/>
  <c r="C58" i="13"/>
  <c r="C26" i="13"/>
  <c r="C1290" i="13"/>
  <c r="C1258" i="13"/>
  <c r="C1226" i="13"/>
  <c r="C1193" i="13"/>
  <c r="C1161" i="13"/>
  <c r="C1129" i="13"/>
  <c r="C1097" i="13"/>
  <c r="C1065" i="13"/>
  <c r="C1033" i="13"/>
  <c r="C1001" i="13"/>
  <c r="C969" i="13"/>
  <c r="C948" i="13"/>
  <c r="C932" i="13"/>
  <c r="C916" i="13"/>
  <c r="C899" i="13"/>
  <c r="C883" i="13"/>
  <c r="C867" i="13"/>
  <c r="C851" i="13"/>
  <c r="C835" i="13"/>
  <c r="C820" i="13"/>
  <c r="C804" i="13"/>
  <c r="C788" i="13"/>
  <c r="C771" i="13"/>
  <c r="C755" i="13"/>
  <c r="C738" i="13"/>
  <c r="C695" i="13"/>
  <c r="C651" i="13"/>
  <c r="C607" i="13"/>
  <c r="C563" i="13"/>
  <c r="C520" i="13"/>
  <c r="C476" i="13"/>
  <c r="C432" i="13"/>
  <c r="C387" i="13"/>
  <c r="C139" i="13"/>
  <c r="C1281" i="13"/>
  <c r="C1152" i="13"/>
  <c r="C1024" i="13"/>
  <c r="C927" i="13"/>
  <c r="C862" i="13"/>
  <c r="C826" i="13"/>
  <c r="C795" i="13"/>
  <c r="C762" i="13"/>
  <c r="C715" i="13"/>
  <c r="C657" i="13"/>
  <c r="C599" i="13"/>
  <c r="C540" i="13"/>
  <c r="C482" i="13"/>
  <c r="C423" i="13"/>
  <c r="C368" i="13"/>
  <c r="C334" i="13"/>
  <c r="C301" i="13"/>
  <c r="C269" i="13"/>
  <c r="C235" i="13"/>
  <c r="C200" i="13"/>
  <c r="C731" i="13"/>
  <c r="C706" i="13"/>
  <c r="C682" i="13"/>
  <c r="C656" i="13"/>
  <c r="C631" i="13"/>
  <c r="C606" i="13"/>
  <c r="C581" i="13"/>
  <c r="C556" i="13"/>
  <c r="C530" i="13"/>
  <c r="C505" i="13"/>
  <c r="C480" i="13"/>
  <c r="C454" i="13"/>
  <c r="C428" i="13"/>
  <c r="C404" i="13"/>
  <c r="C377" i="13"/>
  <c r="C57" i="13"/>
  <c r="B113" i="7"/>
  <c r="B50" i="3"/>
  <c r="B31" i="9"/>
  <c r="B33" i="8"/>
  <c r="B33" i="9"/>
  <c r="H161" i="13"/>
  <c r="H448" i="13"/>
  <c r="H87" i="13"/>
  <c r="L26" i="5"/>
  <c r="H429" i="13" s="1"/>
  <c r="H79" i="13"/>
  <c r="H31" i="3"/>
  <c r="D31" i="3"/>
  <c r="D36" i="3" s="1"/>
  <c r="C31" i="3"/>
  <c r="F17" i="5"/>
  <c r="D94" i="2"/>
  <c r="D46" i="2"/>
  <c r="D56" i="2" s="1"/>
  <c r="H218" i="13"/>
  <c r="C17" i="5"/>
  <c r="L13" i="5"/>
  <c r="H416" i="13" s="1"/>
  <c r="H642" i="13"/>
  <c r="H698" i="13"/>
  <c r="K42" i="6"/>
  <c r="H700" i="13" s="1"/>
  <c r="C94" i="2"/>
  <c r="H57" i="13"/>
  <c r="H864" i="13"/>
  <c r="H37" i="2"/>
  <c r="H95" i="2" s="1"/>
  <c r="H169" i="13"/>
  <c r="G31" i="3"/>
  <c r="R36" i="6"/>
  <c r="H904" i="13" s="1"/>
  <c r="H664" i="13"/>
  <c r="H667" i="13"/>
  <c r="H789" i="13"/>
  <c r="Q41" i="6"/>
  <c r="H1008" i="13"/>
  <c r="C68" i="7"/>
  <c r="E54" i="7"/>
  <c r="H1094" i="13" s="1"/>
  <c r="H1043" i="13"/>
  <c r="C87" i="7"/>
  <c r="E92" i="7"/>
  <c r="H1131" i="13"/>
  <c r="H18" i="13"/>
  <c r="D15" i="12"/>
  <c r="H329" i="13"/>
  <c r="H17" i="5"/>
  <c r="G19" i="6"/>
  <c r="H529" i="13"/>
  <c r="G26" i="2"/>
  <c r="H82" i="13"/>
  <c r="H240" i="13"/>
  <c r="D17" i="5"/>
  <c r="H244" i="13" s="1"/>
  <c r="H557" i="13"/>
  <c r="J17" i="6"/>
  <c r="I40" i="6"/>
  <c r="D12" i="11"/>
  <c r="H658" i="13"/>
  <c r="G34" i="6"/>
  <c r="D44" i="4"/>
  <c r="D46" i="4" s="1"/>
  <c r="H246" i="13"/>
  <c r="L19" i="5"/>
  <c r="H422" i="13" s="1"/>
  <c r="Q11" i="6"/>
  <c r="H761" i="13"/>
  <c r="H767" i="13"/>
  <c r="Q17" i="6"/>
  <c r="H857" i="13" s="1"/>
  <c r="B98" i="2"/>
  <c r="B31" i="8"/>
  <c r="C45" i="6"/>
  <c r="B54" i="4"/>
  <c r="O40" i="6"/>
  <c r="R26" i="6"/>
  <c r="H895" i="13" s="1"/>
  <c r="R35" i="6"/>
  <c r="H903" i="13" s="1"/>
  <c r="H747" i="13"/>
  <c r="C46" i="2"/>
  <c r="H33" i="13" s="1"/>
  <c r="H558" i="13"/>
  <c r="J18" i="6"/>
  <c r="H537" i="13"/>
  <c r="F40" i="6"/>
  <c r="H575" i="13"/>
  <c r="J37" i="6"/>
  <c r="B38" i="5"/>
  <c r="B56" i="4"/>
  <c r="C47" i="6"/>
  <c r="M34" i="5" l="1"/>
  <c r="H459" i="13" s="1"/>
  <c r="R15" i="6"/>
  <c r="H885" i="13" s="1"/>
  <c r="H776" i="13"/>
  <c r="H769" i="13"/>
  <c r="R31" i="6"/>
  <c r="H899" i="13" s="1"/>
  <c r="D95" i="2"/>
  <c r="C46" i="7"/>
  <c r="H943" i="13" s="1"/>
  <c r="H412" i="13"/>
  <c r="H124" i="13"/>
  <c r="R14" i="6"/>
  <c r="H884" i="13" s="1"/>
  <c r="P42" i="6"/>
  <c r="H850" i="13" s="1"/>
  <c r="D33" i="3"/>
  <c r="D31" i="5"/>
  <c r="D98" i="7"/>
  <c r="H1092" i="13" s="1"/>
  <c r="I31" i="5"/>
  <c r="I34" i="5" s="1"/>
  <c r="H371" i="13" s="1"/>
  <c r="J29" i="6"/>
  <c r="H657" i="13" s="1"/>
  <c r="H1167" i="13"/>
  <c r="F98" i="7"/>
  <c r="H390" i="13"/>
  <c r="R27" i="6"/>
  <c r="H896" i="13" s="1"/>
  <c r="E42" i="6"/>
  <c r="H520" i="13" s="1"/>
  <c r="H42" i="6"/>
  <c r="H610" i="13" s="1"/>
  <c r="H36" i="3"/>
  <c r="D37" i="3" s="1"/>
  <c r="H212" i="13"/>
  <c r="H566" i="13"/>
  <c r="H650" i="13"/>
  <c r="H942" i="13"/>
  <c r="R12" i="6"/>
  <c r="H882" i="13" s="1"/>
  <c r="E31" i="5"/>
  <c r="E34" i="5" s="1"/>
  <c r="H283" i="13" s="1"/>
  <c r="E45" i="7"/>
  <c r="H1006" i="13" s="1"/>
  <c r="R30" i="6"/>
  <c r="H898" i="13" s="1"/>
  <c r="H488" i="13"/>
  <c r="D46" i="7"/>
  <c r="H975" i="13" s="1"/>
  <c r="H974" i="13"/>
  <c r="H33" i="3"/>
  <c r="R24" i="6"/>
  <c r="H893" i="13" s="1"/>
  <c r="E21" i="7"/>
  <c r="H985" i="13" s="1"/>
  <c r="H728" i="13"/>
  <c r="L42" i="6"/>
  <c r="H730" i="13" s="1"/>
  <c r="D13" i="12"/>
  <c r="D12" i="12"/>
  <c r="D5" i="12"/>
  <c r="H856" i="13"/>
  <c r="R16" i="6"/>
  <c r="H886" i="13" s="1"/>
  <c r="R21" i="6"/>
  <c r="H891" i="13" s="1"/>
  <c r="H651" i="13"/>
  <c r="C36" i="3"/>
  <c r="H147" i="13" s="1"/>
  <c r="H143" i="13"/>
  <c r="F31" i="5"/>
  <c r="H288" i="13"/>
  <c r="H851" i="13"/>
  <c r="R11" i="6"/>
  <c r="H881" i="13" s="1"/>
  <c r="J34" i="6"/>
  <c r="H572" i="13"/>
  <c r="H548" i="13"/>
  <c r="F42" i="6"/>
  <c r="H550" i="13" s="1"/>
  <c r="G40" i="6"/>
  <c r="G42" i="6" s="1"/>
  <c r="H580" i="13" s="1"/>
  <c r="O42" i="6"/>
  <c r="H820" i="13" s="1"/>
  <c r="H818" i="13"/>
  <c r="R17" i="6"/>
  <c r="H887" i="13" s="1"/>
  <c r="H647" i="13"/>
  <c r="J19" i="6"/>
  <c r="H559" i="13"/>
  <c r="H879" i="13"/>
  <c r="R41" i="6"/>
  <c r="H909" i="13" s="1"/>
  <c r="H638" i="13"/>
  <c r="I42" i="6"/>
  <c r="H640" i="13" s="1"/>
  <c r="H1038" i="13"/>
  <c r="C98" i="7"/>
  <c r="D10" i="12"/>
  <c r="H71" i="13"/>
  <c r="H222" i="13"/>
  <c r="C31" i="5"/>
  <c r="L17" i="5"/>
  <c r="H420" i="13" s="1"/>
  <c r="Q40" i="6"/>
  <c r="H788" i="13"/>
  <c r="D34" i="5"/>
  <c r="H261" i="13" s="1"/>
  <c r="H258" i="13"/>
  <c r="H332" i="13"/>
  <c r="H31" i="5"/>
  <c r="C56" i="2"/>
  <c r="H41" i="13" s="1"/>
  <c r="N42" i="6"/>
  <c r="H790" i="13" s="1"/>
  <c r="H214" i="13"/>
  <c r="E10" i="11"/>
  <c r="D10" i="11" s="1"/>
  <c r="R37" i="6"/>
  <c r="H905" i="13" s="1"/>
  <c r="H665" i="13"/>
  <c r="H648" i="13"/>
  <c r="R18" i="6"/>
  <c r="H888" i="13" s="1"/>
  <c r="H86" i="13"/>
  <c r="G37" i="2"/>
  <c r="H1129" i="13"/>
  <c r="E87" i="7"/>
  <c r="H1022" i="13"/>
  <c r="E68" i="7"/>
  <c r="H1108" i="13" s="1"/>
  <c r="H170" i="13"/>
  <c r="C33" i="3"/>
  <c r="H144" i="13" s="1"/>
  <c r="G36" i="3"/>
  <c r="G33" i="3"/>
  <c r="H171" i="13" s="1"/>
  <c r="D42" i="3" l="1"/>
  <c r="D45" i="3" s="1"/>
  <c r="H37" i="3"/>
  <c r="H42" i="3" s="1"/>
  <c r="H368" i="13"/>
  <c r="R29" i="6"/>
  <c r="H897" i="13" s="1"/>
  <c r="D99" i="7"/>
  <c r="H1093" i="13" s="1"/>
  <c r="H280" i="13"/>
  <c r="E46" i="7"/>
  <c r="H1007" i="13" s="1"/>
  <c r="H1178" i="13"/>
  <c r="F99" i="7"/>
  <c r="H1179" i="13" s="1"/>
  <c r="F34" i="5"/>
  <c r="H305" i="13" s="1"/>
  <c r="H302" i="13"/>
  <c r="E98" i="7"/>
  <c r="H1124" i="13"/>
  <c r="H346" i="13"/>
  <c r="H34" i="5"/>
  <c r="H349" i="13" s="1"/>
  <c r="H649" i="13"/>
  <c r="R19" i="6"/>
  <c r="C11" i="11"/>
  <c r="C7" i="11"/>
  <c r="D7" i="11" s="1"/>
  <c r="H94" i="13"/>
  <c r="D4" i="12"/>
  <c r="D19" i="12" s="1"/>
  <c r="G95" i="2"/>
  <c r="D18" i="12"/>
  <c r="H236" i="13"/>
  <c r="L31" i="5"/>
  <c r="H434" i="13" s="1"/>
  <c r="C34" i="5"/>
  <c r="C95" i="2"/>
  <c r="J40" i="6"/>
  <c r="J42" i="6" s="1"/>
  <c r="H670" i="13" s="1"/>
  <c r="H578" i="13"/>
  <c r="H662" i="13"/>
  <c r="R34" i="6"/>
  <c r="H902" i="13" s="1"/>
  <c r="H878" i="13"/>
  <c r="Q42" i="6"/>
  <c r="H880" i="13" s="1"/>
  <c r="D8" i="12"/>
  <c r="C42" i="3"/>
  <c r="C37" i="3"/>
  <c r="G37" i="3"/>
  <c r="H174" i="13"/>
  <c r="H1049" i="13"/>
  <c r="C99" i="7"/>
  <c r="H1050" i="13" s="1"/>
  <c r="H44" i="3" l="1"/>
  <c r="H889" i="13"/>
  <c r="G42" i="3"/>
  <c r="G44" i="3" s="1"/>
  <c r="H178" i="13" s="1"/>
  <c r="H175" i="13"/>
  <c r="C6" i="11"/>
  <c r="D16" i="12"/>
  <c r="H72" i="13"/>
  <c r="D6" i="12"/>
  <c r="D20" i="12" s="1"/>
  <c r="H1135" i="13"/>
  <c r="E99" i="7"/>
  <c r="H1136" i="13" s="1"/>
  <c r="H148" i="13"/>
  <c r="D21" i="12"/>
  <c r="H668" i="13"/>
  <c r="R40" i="6"/>
  <c r="H908" i="13" s="1"/>
  <c r="H239" i="13"/>
  <c r="L34" i="5"/>
  <c r="E6" i="11"/>
  <c r="H125" i="13"/>
  <c r="H45" i="3"/>
  <c r="D44" i="3"/>
  <c r="H153" i="13"/>
  <c r="C45" i="3"/>
  <c r="H156" i="13" s="1"/>
  <c r="R42" i="6" l="1"/>
  <c r="H910" i="13" s="1"/>
  <c r="D6" i="11"/>
  <c r="H437" i="13"/>
  <c r="E11" i="11"/>
  <c r="D11" i="11" s="1"/>
  <c r="D22" i="12"/>
  <c r="D23" i="12"/>
  <c r="D24" i="12"/>
  <c r="C44" i="3"/>
  <c r="G45" i="3"/>
  <c r="H179" i="13" s="1"/>
  <c r="H176" i="13"/>
  <c r="H155" i="13" l="1"/>
  <c r="E8" i="11"/>
  <c r="D8" i="11" s="1"/>
</calcChain>
</file>

<file path=xl/sharedStrings.xml><?xml version="1.0" encoding="utf-8"?>
<sst xmlns="http://schemas.openxmlformats.org/spreadsheetml/2006/main" count="4263" uniqueCount="974">
  <si>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</si>
  <si>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</si>
  <si>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</si>
  <si>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</si>
  <si>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</si>
  <si>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</si>
  <si>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</si>
  <si>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</si>
  <si>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</si>
  <si>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</si>
  <si>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</si>
  <si>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</si>
  <si>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</si>
  <si>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</si>
  <si>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</si>
  <si>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</si>
  <si>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</si>
  <si>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</si>
  <si>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</si>
  <si>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</si>
  <si>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</si>
  <si>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</si>
  <si>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</si>
  <si>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</si>
  <si>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</si>
  <si>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</si>
  <si>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</si>
  <si>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</si>
  <si>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</si>
  <si>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</si>
  <si>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</si>
  <si>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</si>
  <si>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</si>
  <si>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</si>
  <si>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</si>
  <si>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</si>
  <si>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</si>
  <si>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</si>
  <si>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</si>
  <si>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</si>
  <si>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</si>
  <si>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</si>
  <si>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</si>
  <si>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</si>
  <si>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</si>
  <si>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</si>
  <si>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</si>
  <si>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</si>
  <si>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</si>
  <si>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</si>
  <si>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</si>
  <si>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</si>
  <si>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</si>
  <si>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</si>
  <si>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</si>
  <si>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</si>
  <si>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</si>
  <si>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</si>
  <si>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</si>
  <si>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</si>
  <si>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</si>
  <si>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</si>
  <si>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</si>
  <si>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</si>
  <si>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</si>
  <si>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</si>
  <si>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</si>
  <si>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</si>
  <si>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</si>
  <si>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</si>
  <si>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</si>
  <si>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</si>
  <si>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</si>
  <si>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</si>
  <si>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</si>
  <si>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</si>
  <si>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</si>
  <si>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</si>
  <si>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</si>
  <si>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</si>
  <si>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</si>
  <si>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</si>
  <si>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</si>
  <si>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</si>
  <si>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</si>
  <si>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</si>
  <si>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</si>
  <si>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</si>
  <si>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</si>
  <si>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</si>
  <si>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</si>
  <si>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</si>
  <si>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</si>
  <si>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</si>
  <si>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</si>
  <si>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</si>
  <si>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</si>
  <si>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</si>
  <si>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</si>
  <si>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</si>
  <si>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</si>
  <si>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</si>
  <si>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</si>
  <si>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</si>
  <si>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</si>
  <si>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</si>
  <si>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</si>
  <si>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</si>
  <si>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</si>
  <si>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</si>
  <si>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</si>
  <si>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</si>
  <si>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</si>
  <si>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</si>
  <si>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</si>
  <si>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</si>
  <si>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</si>
  <si>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</si>
  <si>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</si>
  <si>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</si>
  <si>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</si>
  <si>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</si>
  <si>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</si>
  <si>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</si>
  <si>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</si>
  <si>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</si>
  <si>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</si>
  <si>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</si>
  <si>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</si>
  <si>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</si>
  <si>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</si>
  <si>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</si>
  <si>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</si>
  <si>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</si>
  <si>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</si>
  <si>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</si>
  <si>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</si>
  <si>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</si>
  <si>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</si>
  <si>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</si>
  <si>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</si>
  <si>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</si>
  <si>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</si>
  <si>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</si>
  <si>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</si>
  <si>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</si>
  <si>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</si>
  <si>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</si>
  <si>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</si>
  <si>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</si>
  <si>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</si>
  <si>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</si>
  <si>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</si>
  <si>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</si>
  <si>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</si>
  <si>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</si>
  <si>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</si>
  <si>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</si>
  <si>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</si>
  <si>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</si>
  <si>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</si>
  <si>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</si>
  <si>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</si>
  <si>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</si>
  <si>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</si>
  <si>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</si>
  <si>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</si>
  <si>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</si>
  <si>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</si>
  <si>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</si>
  <si>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</si>
  <si>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</si>
  <si>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</si>
  <si>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</si>
  <si>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</si>
  <si>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</si>
  <si>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</si>
  <si>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</si>
  <si>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</si>
  <si>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</si>
  <si>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</si>
  <si>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</si>
  <si>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</si>
  <si>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</si>
  <si>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</si>
  <si>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</si>
  <si>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</si>
  <si>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</si>
  <si>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</si>
  <si>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</si>
  <si>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</si>
  <si>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</si>
  <si>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</si>
  <si>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</si>
  <si>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</si>
  <si>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</si>
  <si>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</si>
  <si>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</si>
  <si>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</si>
  <si>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</si>
  <si>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</si>
  <si>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</si>
  <si>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</si>
  <si>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</si>
  <si>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</si>
  <si>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</si>
  <si>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</si>
  <si>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</si>
  <si>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</si>
  <si>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</si>
  <si>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</si>
  <si>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</si>
  <si>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</si>
  <si>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</si>
  <si>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</si>
  <si>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</si>
  <si>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</si>
  <si>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</si>
  <si>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</si>
  <si>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</si>
  <si>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</si>
  <si>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</si>
  <si>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</si>
  <si>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</si>
  <si>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</si>
  <si>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</si>
  <si>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</si>
  <si>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</si>
  <si>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</si>
  <si>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</si>
  <si>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</si>
  <si>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</si>
  <si>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</si>
  <si>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</si>
  <si>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</si>
  <si>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</si>
  <si>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</si>
  <si>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</si>
  <si>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</si>
  <si>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</si>
  <si>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</si>
  <si>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</si>
  <si>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</si>
  <si>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</si>
  <si>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</si>
  <si>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</si>
  <si>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</si>
  <si>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</si>
  <si>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</si>
  <si>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</si>
  <si>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</si>
  <si>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</si>
  <si>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</si>
  <si>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</si>
  <si>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</si>
  <si>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</si>
  <si>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</si>
  <si>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</si>
  <si>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</si>
  <si>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</si>
  <si>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</si>
  <si>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</si>
  <si>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</si>
  <si>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</si>
  <si>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</si>
  <si>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</si>
  <si>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</si>
  <si>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</si>
  <si>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</si>
  <si>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</si>
  <si>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</si>
  <si>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</si>
  <si>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</si>
  <si>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</si>
  <si>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</si>
  <si>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</si>
  <si>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</si>
  <si>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</si>
  <si>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</si>
  <si>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</si>
  <si>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</si>
  <si>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</si>
  <si>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</si>
  <si>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</si>
  <si>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</si>
  <si>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</si>
  <si>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</si>
  <si>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</si>
  <si>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</si>
  <si>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</si>
  <si>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</si>
  <si>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</si>
  <si>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</si>
  <si>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</si>
  <si>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</si>
  <si>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</si>
  <si>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</si>
  <si>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</si>
  <si>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</si>
  <si>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</si>
  <si>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</si>
  <si>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</si>
  <si>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</si>
  <si>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</si>
  <si>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</si>
  <si>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</si>
  <si>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</si>
  <si>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</si>
  <si>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</si>
  <si>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</si>
  <si>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</si>
  <si>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</si>
  <si>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</si>
  <si>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</si>
  <si>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</si>
  <si>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</si>
  <si>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</si>
  <si>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</si>
  <si>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</si>
  <si>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</si>
  <si>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</si>
  <si>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</si>
  <si>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</si>
  <si>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</si>
  <si>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</si>
  <si>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</si>
  <si>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</si>
  <si>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</si>
  <si>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</si>
  <si>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</si>
  <si>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</si>
  <si>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</si>
  <si>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</si>
  <si>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</si>
  <si>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</si>
  <si>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</si>
  <si>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</si>
  <si>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</si>
  <si>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</si>
  <si>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</si>
  <si>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</si>
  <si>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</si>
  <si>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</si>
  <si>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</si>
  <si>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</si>
  <si>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</si>
  <si>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</si>
  <si>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</si>
  <si>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</si>
  <si>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</si>
  <si>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</si>
  <si>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</si>
  <si>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</si>
  <si>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</si>
  <si>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</si>
  <si>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</si>
  <si>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</si>
  <si>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</si>
  <si>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</si>
  <si>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</si>
  <si>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</si>
  <si>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</si>
  <si>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</si>
  <si>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</si>
  <si>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</si>
  <si>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</si>
  <si>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</si>
  <si>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</si>
  <si>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</si>
  <si>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</si>
  <si>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</si>
  <si>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</si>
  <si>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</si>
  <si>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</si>
  <si>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</si>
  <si>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</si>
  <si>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</si>
  <si>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</si>
  <si>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</si>
  <si>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</si>
  <si>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</si>
  <si>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</si>
  <si>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</si>
  <si>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</si>
  <si>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</si>
  <si>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</si>
  <si>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</si>
  <si>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</si>
  <si>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</si>
  <si>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</si>
  <si>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</si>
  <si>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</si>
  <si>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</si>
  <si>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</si>
  <si>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</si>
  <si>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</si>
  <si>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</si>
  <si>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</si>
  <si>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</si>
  <si>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</si>
  <si>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</si>
  <si>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</si>
  <si>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</si>
  <si>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</si>
  <si>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</si>
  <si>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</si>
  <si>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</si>
  <si>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</si>
  <si>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</si>
  <si>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</si>
  <si>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</si>
  <si>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</si>
  <si>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</si>
  <si>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</si>
  <si>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</si>
  <si>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</si>
  <si>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</si>
  <si>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</si>
  <si>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</si>
  <si>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</si>
  <si>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</si>
  <si>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</si>
  <si>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</si>
  <si>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</si>
  <si>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</si>
  <si>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</si>
  <si>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</si>
  <si>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</si>
  <si>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</si>
  <si>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</si>
  <si>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</si>
  <si>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</si>
  <si>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</si>
  <si>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</si>
  <si>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</si>
  <si>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</si>
  <si>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</si>
  <si>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</si>
  <si>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</si>
  <si>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</si>
  <si>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</si>
  <si>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</si>
  <si>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</si>
  <si>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</si>
  <si>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</si>
  <si>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</si>
  <si>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</si>
  <si>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</si>
  <si>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</si>
  <si>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</si>
  <si>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</si>
  <si>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</si>
  <si>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</si>
  <si>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</si>
  <si>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</si>
  <si>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</si>
  <si>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</si>
  <si>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</si>
  <si>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</si>
  <si>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</si>
  <si>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</si>
  <si>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</si>
  <si>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</si>
  <si>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</si>
  <si>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</si>
  <si>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</si>
  <si>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</si>
  <si>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</si>
  <si>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</si>
  <si>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</si>
  <si>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</si>
  <si>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</si>
  <si>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</si>
  <si>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</si>
  <si>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</si>
  <si>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</si>
  <si>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</si>
  <si>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</si>
  <si>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</si>
  <si>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</si>
  <si>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</si>
  <si>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</si>
  <si>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</si>
  <si>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</si>
  <si>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</si>
  <si>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</si>
  <si>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</si>
  <si>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</si>
  <si>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</si>
  <si>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</si>
  <si>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</si>
  <si>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</si>
  <si>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</si>
  <si>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</si>
  <si>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</si>
  <si>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</si>
  <si>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</si>
  <si>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</si>
  <si>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</si>
  <si>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</si>
  <si>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</si>
  <si>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</si>
  <si>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</si>
  <si>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</si>
  <si>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</si>
  <si>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</si>
  <si>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</si>
  <si>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</si>
  <si>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</si>
  <si>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</si>
  <si>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</si>
  <si>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</si>
  <si>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</si>
  <si>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</si>
  <si>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</si>
  <si>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</si>
  <si>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</si>
  <si>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</si>
  <si>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</si>
  <si>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</si>
  <si>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</si>
  <si>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</si>
  <si>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</si>
  <si>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</si>
  <si>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</si>
  <si>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</si>
  <si>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</si>
  <si>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</si>
  <si>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</si>
  <si>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</si>
  <si>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</si>
  <si>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</si>
  <si>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</si>
  <si>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</si>
  <si>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</si>
  <si>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</si>
  <si>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</si>
  <si>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</si>
  <si>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</si>
  <si>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</si>
  <si>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</si>
  <si>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</si>
  <si>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</si>
  <si>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</si>
  <si>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</si>
  <si>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</si>
  <si>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</si>
  <si>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</si>
  <si>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</si>
  <si>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</si>
  <si>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</si>
  <si>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</si>
  <si>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</si>
  <si>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</si>
  <si>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</si>
  <si>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</si>
  <si>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</si>
  <si>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</si>
  <si>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</si>
  <si>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</si>
  <si>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</si>
  <si>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</si>
  <si>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</si>
  <si>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</si>
  <si>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</si>
  <si>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</si>
  <si>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</si>
  <si>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</si>
  <si>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</si>
  <si>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</si>
  <si>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</si>
  <si>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</si>
  <si>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</si>
  <si>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</si>
  <si>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</si>
  <si>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</si>
  <si>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</si>
  <si>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</si>
  <si>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</si>
  <si>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</si>
  <si>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</si>
  <si>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</si>
  <si>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</si>
  <si>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</si>
  <si>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</si>
  <si>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</si>
  <si>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</si>
  <si>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</si>
  <si>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</si>
  <si>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</si>
  <si>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</si>
  <si>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</si>
  <si>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</si>
  <si>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</si>
  <si>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</si>
  <si>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</si>
  <si>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</si>
  <si>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</si>
  <si>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</si>
  <si>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</si>
  <si>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</si>
  <si>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</si>
  <si>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</si>
  <si>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</si>
  <si>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</si>
  <si>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</si>
  <si>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</si>
  <si>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</si>
  <si>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</si>
  <si>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</si>
  <si>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</si>
  <si>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</si>
  <si>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</si>
  <si>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</si>
  <si>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</si>
  <si>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</si>
  <si>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</si>
  <si>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</si>
  <si>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</si>
  <si>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</si>
  <si>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</si>
  <si>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</si>
  <si>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</si>
  <si>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</si>
  <si>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</si>
  <si>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</si>
  <si>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</si>
  <si>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</si>
  <si>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</si>
  <si>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</si>
  <si>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</si>
  <si>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</si>
  <si>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</si>
  <si>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</si>
  <si>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</si>
  <si>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</si>
  <si>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</si>
  <si>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</si>
  <si>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</si>
  <si>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</si>
  <si>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</si>
  <si>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</si>
  <si>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</si>
  <si>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</si>
  <si>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</si>
  <si>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</si>
  <si>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</si>
  <si>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</si>
  <si>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</si>
  <si>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</si>
  <si>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</si>
  <si>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</si>
  <si>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</si>
  <si>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</si>
  <si>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</si>
  <si>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</si>
  <si>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</si>
  <si>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</si>
  <si>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</si>
  <si>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</si>
  <si>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</si>
  <si>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</si>
  <si>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</si>
  <si>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</si>
  <si>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</si>
  <si>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</si>
  <si>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</si>
  <si>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</si>
  <si>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</si>
  <si>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</si>
  <si>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</si>
  <si>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</si>
  <si>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</si>
  <si>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</si>
  <si>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</si>
  <si>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</si>
  <si>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</si>
  <si>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</si>
  <si>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</si>
  <si>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</si>
  <si>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</si>
  <si>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</si>
  <si>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</si>
  <si>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</si>
  <si>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</si>
  <si>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</si>
  <si>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</si>
  <si>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</si>
  <si>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</si>
  <si>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</si>
  <si>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</si>
  <si>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</si>
  <si>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</si>
  <si>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</si>
  <si>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</si>
  <si>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</si>
  <si>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</si>
  <si>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</si>
  <si>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</si>
  <si>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</si>
  <si>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</si>
  <si>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</si>
  <si>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</si>
  <si>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</si>
  <si>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</si>
  <si>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</si>
  <si>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</si>
  <si>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</si>
  <si>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</si>
  <si>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</si>
  <si>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</si>
  <si>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</si>
  <si>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</si>
  <si>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</si>
  <si>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</si>
  <si>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</si>
  <si>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</si>
  <si>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</si>
  <si>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</si>
  <si>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</si>
  <si>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</si>
  <si>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</si>
  <si>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</si>
  <si>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</si>
  <si>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</si>
  <si>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</si>
  <si>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</si>
  <si>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</si>
  <si>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</si>
  <si>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</si>
  <si>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</si>
  <si>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</si>
  <si>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</si>
  <si>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</si>
  <si>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</si>
  <si>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</si>
  <si>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</si>
  <si>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</si>
  <si>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</si>
  <si>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</si>
  <si>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</si>
  <si>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</si>
  <si>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</si>
  <si>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</si>
  <si>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</si>
  <si>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</si>
  <si>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</si>
  <si>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</si>
  <si>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</si>
  <si>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</si>
  <si>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</si>
  <si>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</si>
  <si>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</si>
  <si>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</si>
  <si>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</si>
  <si>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</si>
  <si>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</si>
  <si>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</si>
  <si>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</si>
  <si>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</si>
  <si>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</si>
  <si>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</si>
  <si>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</si>
  <si>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</si>
  <si>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</si>
  <si>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</si>
  <si>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</si>
  <si>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</si>
  <si>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</si>
  <si>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</si>
  <si>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</si>
  <si>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</si>
  <si>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</si>
  <si>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</si>
  <si>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</si>
  <si>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</si>
  <si>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</si>
  <si>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</si>
  <si>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</si>
  <si>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</si>
  <si>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</si>
  <si>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</si>
  <si>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</si>
  <si>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</si>
  <si>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</si>
  <si>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</si>
  <si>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</si>
  <si>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</si>
  <si>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</si>
  <si>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</si>
  <si>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</si>
  <si>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</si>
  <si>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</si>
  <si>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</si>
  <si>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</si>
  <si>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</si>
  <si>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</si>
  <si>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</si>
  <si>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</si>
  <si>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</si>
  <si>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</si>
  <si>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</si>
  <si>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</si>
  <si>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</si>
  <si>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</si>
  <si>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</si>
  <si>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</si>
  <si>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</si>
  <si>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</si>
  <si>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</si>
  <si>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</si>
  <si>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</si>
  <si>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</si>
  <si>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</si>
  <si>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</si>
  <si>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</si>
  <si>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</si>
  <si>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</si>
  <si>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</si>
  <si>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</si>
  <si>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</si>
  <si>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</si>
  <si>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</si>
  <si>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</si>
  <si>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</si>
  <si>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</si>
  <si>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</si>
  <si>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</si>
  <si>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</si>
  <si>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</si>
  <si>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</si>
  <si>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</si>
  <si>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</si>
  <si>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</si>
  <si>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</si>
  <si>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</si>
  <si>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</si>
  <si>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</si>
  <si>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</si>
  <si>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</si>
  <si>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</si>
  <si>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</si>
  <si>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</si>
  <si>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</si>
  <si>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</si>
  <si>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</si>
  <si>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</si>
  <si>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</si>
  <si>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</si>
  <si>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</si>
  <si>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</si>
  <si>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</si>
  <si>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</si>
  <si>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</si>
  <si>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</si>
  <si>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</si>
  <si>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</si>
  <si>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</si>
  <si>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</si>
  <si>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</si>
  <si>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</si>
  <si>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</si>
  <si>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</si>
  <si>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</si>
  <si>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</si>
  <si>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</si>
  <si>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</si>
  <si>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</si>
  <si>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</si>
  <si>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</si>
  <si>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</si>
  <si>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</si>
  <si>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</si>
  <si>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</si>
  <si>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</si>
  <si>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</si>
  <si>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</si>
  <si>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</si>
  <si>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</si>
  <si>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</si>
  <si>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</si>
  <si>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</si>
  <si>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</si>
  <si>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</si>
  <si>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</si>
  <si>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</si>
  <si>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</si>
  <si>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</si>
  <si>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</si>
  <si>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</si>
  <si>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</si>
  <si>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</si>
  <si>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</si>
  <si>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</si>
  <si>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</si>
  <si>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</si>
  <si>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</si>
  <si>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</si>
  <si>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</si>
  <si>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</si>
  <si>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</si>
  <si>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</si>
  <si>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</si>
  <si>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</si>
  <si>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</si>
  <si>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</si>
  <si>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</si>
  <si>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</si>
  <si>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</si>
  <si>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</si>
  <si>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</si>
  <si>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</si>
  <si>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</si>
  <si>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</si>
  <si>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</si>
  <si>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</si>
  <si>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</si>
  <si>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</si>
  <si>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</si>
  <si>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</si>
  <si>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</si>
  <si>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</si>
  <si>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</si>
  <si>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</si>
  <si>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</si>
  <si>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</si>
  <si>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</si>
  <si>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</si>
  <si>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</si>
  <si>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</si>
  <si>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</si>
  <si>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</si>
  <si>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</si>
  <si>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</si>
  <si>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</si>
  <si>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</si>
  <si>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</si>
  <si>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</si>
  <si>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</si>
  <si>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</si>
  <si>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</si>
  <si>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</si>
  <si>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</si>
  <si>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</si>
  <si>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</si>
  <si>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</si>
  <si>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</si>
  <si>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</si>
  <si>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</si>
  <si>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</si>
  <si>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</si>
  <si>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</si>
  <si>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</si>
  <si>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</si>
  <si>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</si>
  <si>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</si>
  <si>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</si>
  <si>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</si>
  <si>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</si>
  <si>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</si>
  <si>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11, т. 2 и чл. 12, ал. 1, т. 3 от Наредба № 2</t>
  </si>
  <si>
    <t>* Последна актуализация месец декември 2021 г.</t>
  </si>
  <si>
    <t>СОФАРМА АД</t>
  </si>
  <si>
    <t>831902088</t>
  </si>
  <si>
    <t>Изпълнителен директор</t>
  </si>
  <si>
    <t>гр.София, ул."Илиенско шосе" №16</t>
  </si>
  <si>
    <t>гр.София, ул."Лъчезар Станчев" №5, ет.10</t>
  </si>
  <si>
    <t>02 813 42 00</t>
  </si>
  <si>
    <t>02 813 41 45</t>
  </si>
  <si>
    <t>Lbondzhova@sopharma.bg</t>
  </si>
  <si>
    <t>www.sopharma.bg</t>
  </si>
  <si>
    <t>Ръководител отдел "Рипортинг"</t>
  </si>
  <si>
    <t>ОГНЯН ДОНЕВ</t>
  </si>
  <si>
    <t>ЛЮДМИЛА БОНДЖОВА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</si>
</sst>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9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7.2" xfId="8" xr:uid="{00000000-0005-0000-0000-000008000000}"/>
    <cellStyle name="Normal_Spravki_kod" xfId="9" xr:uid="{00000000-0005-0000-0000-000009000000}"/>
    <cellStyle name="Normal_Баланс" xfId="10" xr:uid="{00000000-0005-0000-0000-00000A000000}"/>
    <cellStyle name="Normal_Отч.парич.поток" xfId="11" xr:uid="{00000000-0005-0000-0000-00000B000000}"/>
    <cellStyle name="Normal_Отч.прих-разх" xfId="12" xr:uid="{00000000-0005-0000-0000-00000C000000}"/>
    <cellStyle name="Normal_Отч.собств.кап." xfId="13" xr:uid="{00000000-0005-0000-0000-00000D000000}"/>
    <cellStyle name="Normal_Финансов отчет" xfId="14" xr:uid="{00000000-0005-0000-0000-00000E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38.xml"/><Relationship Id="rId84" Type="http://schemas.openxmlformats.org/officeDocument/2006/relationships/revisionLog" Target="revisionLog5.xml"/><Relationship Id="rId138" Type="http://schemas.openxmlformats.org/officeDocument/2006/relationships/revisionLog" Target="revisionLog59.xml"/><Relationship Id="rId159" Type="http://schemas.openxmlformats.org/officeDocument/2006/relationships/revisionLog" Target="revisionLog92.xml"/><Relationship Id="rId170" Type="http://schemas.openxmlformats.org/officeDocument/2006/relationships/revisionLog" Target="revisionLog103.xml"/><Relationship Id="rId191" Type="http://schemas.openxmlformats.org/officeDocument/2006/relationships/revisionLog" Target="revisionLog124.xml"/><Relationship Id="rId205" Type="http://schemas.openxmlformats.org/officeDocument/2006/relationships/revisionLog" Target="revisionLog138.xml"/><Relationship Id="rId226" Type="http://schemas.openxmlformats.org/officeDocument/2006/relationships/revisionLog" Target="revisionLog159.xml"/><Relationship Id="rId107" Type="http://schemas.openxmlformats.org/officeDocument/2006/relationships/revisionLog" Target="revisionLog28.xml"/><Relationship Id="rId74" Type="http://schemas.openxmlformats.org/officeDocument/2006/relationships/revisionLog" Target="revisionLog74.xml"/><Relationship Id="rId128" Type="http://schemas.openxmlformats.org/officeDocument/2006/relationships/revisionLog" Target="revisionLog49.xml"/><Relationship Id="rId149" Type="http://schemas.openxmlformats.org/officeDocument/2006/relationships/revisionLog" Target="revisionLog82.xml"/><Relationship Id="rId95" Type="http://schemas.openxmlformats.org/officeDocument/2006/relationships/revisionLog" Target="revisionLog16.xml"/><Relationship Id="rId160" Type="http://schemas.openxmlformats.org/officeDocument/2006/relationships/revisionLog" Target="revisionLog93.xml"/><Relationship Id="rId181" Type="http://schemas.openxmlformats.org/officeDocument/2006/relationships/revisionLog" Target="revisionLog114.xml"/><Relationship Id="rId216" Type="http://schemas.openxmlformats.org/officeDocument/2006/relationships/revisionLog" Target="revisionLog149.xml"/><Relationship Id="rId237" Type="http://schemas.openxmlformats.org/officeDocument/2006/relationships/revisionLog" Target="revisionLog170.xml"/><Relationship Id="rId118" Type="http://schemas.openxmlformats.org/officeDocument/2006/relationships/revisionLog" Target="revisionLog39.xml"/><Relationship Id="rId139" Type="http://schemas.openxmlformats.org/officeDocument/2006/relationships/revisionLog" Target="revisionLog60.xml"/><Relationship Id="rId85" Type="http://schemas.openxmlformats.org/officeDocument/2006/relationships/revisionLog" Target="revisionLog6.xml"/><Relationship Id="rId150" Type="http://schemas.openxmlformats.org/officeDocument/2006/relationships/revisionLog" Target="revisionLog83.xml"/><Relationship Id="rId171" Type="http://schemas.openxmlformats.org/officeDocument/2006/relationships/revisionLog" Target="revisionLog104.xml"/><Relationship Id="rId192" Type="http://schemas.openxmlformats.org/officeDocument/2006/relationships/revisionLog" Target="revisionLog125.xml"/><Relationship Id="rId206" Type="http://schemas.openxmlformats.org/officeDocument/2006/relationships/revisionLog" Target="revisionLog139.xml"/><Relationship Id="rId227" Type="http://schemas.openxmlformats.org/officeDocument/2006/relationships/revisionLog" Target="revisionLog160.xml"/><Relationship Id="rId108" Type="http://schemas.openxmlformats.org/officeDocument/2006/relationships/revisionLog" Target="revisionLog29.xml"/><Relationship Id="rId129" Type="http://schemas.openxmlformats.org/officeDocument/2006/relationships/revisionLog" Target="revisionLog50.xml"/><Relationship Id="rId75" Type="http://schemas.openxmlformats.org/officeDocument/2006/relationships/revisionLog" Target="revisionLog75.xml"/><Relationship Id="rId70" Type="http://schemas.openxmlformats.org/officeDocument/2006/relationships/revisionLog" Target="revisionLog70.xml"/><Relationship Id="rId91" Type="http://schemas.openxmlformats.org/officeDocument/2006/relationships/revisionLog" Target="revisionLog12.xml"/><Relationship Id="rId96" Type="http://schemas.openxmlformats.org/officeDocument/2006/relationships/revisionLog" Target="revisionLog17.xml"/><Relationship Id="rId140" Type="http://schemas.openxmlformats.org/officeDocument/2006/relationships/revisionLog" Target="revisionLog61.xml"/><Relationship Id="rId145" Type="http://schemas.openxmlformats.org/officeDocument/2006/relationships/revisionLog" Target="revisionLog66.xml"/><Relationship Id="rId161" Type="http://schemas.openxmlformats.org/officeDocument/2006/relationships/revisionLog" Target="revisionLog94.xml"/><Relationship Id="rId166" Type="http://schemas.openxmlformats.org/officeDocument/2006/relationships/revisionLog" Target="revisionLog99.xml"/><Relationship Id="rId182" Type="http://schemas.openxmlformats.org/officeDocument/2006/relationships/revisionLog" Target="revisionLog115.xml"/><Relationship Id="rId187" Type="http://schemas.openxmlformats.org/officeDocument/2006/relationships/revisionLog" Target="revisionLog120.xml"/><Relationship Id="rId217" Type="http://schemas.openxmlformats.org/officeDocument/2006/relationships/revisionLog" Target="revisionLog150.xml"/><Relationship Id="rId212" Type="http://schemas.openxmlformats.org/officeDocument/2006/relationships/revisionLog" Target="revisionLog145.xml"/><Relationship Id="rId233" Type="http://schemas.openxmlformats.org/officeDocument/2006/relationships/revisionLog" Target="revisionLog166.xml"/><Relationship Id="rId238" Type="http://schemas.openxmlformats.org/officeDocument/2006/relationships/revisionLog" Target="revisionLog171.xml"/><Relationship Id="rId114" Type="http://schemas.openxmlformats.org/officeDocument/2006/relationships/revisionLog" Target="revisionLog35.xml"/><Relationship Id="rId119" Type="http://schemas.openxmlformats.org/officeDocument/2006/relationships/revisionLog" Target="revisionLog40.xml"/><Relationship Id="rId81" Type="http://schemas.openxmlformats.org/officeDocument/2006/relationships/revisionLog" Target="revisionLog2.xml"/><Relationship Id="rId86" Type="http://schemas.openxmlformats.org/officeDocument/2006/relationships/revisionLog" Target="revisionLog7.xml"/><Relationship Id="rId130" Type="http://schemas.openxmlformats.org/officeDocument/2006/relationships/revisionLog" Target="revisionLog51.xml"/><Relationship Id="rId135" Type="http://schemas.openxmlformats.org/officeDocument/2006/relationships/revisionLog" Target="revisionLog56.xml"/><Relationship Id="rId151" Type="http://schemas.openxmlformats.org/officeDocument/2006/relationships/revisionLog" Target="revisionLog84.xml"/><Relationship Id="rId156" Type="http://schemas.openxmlformats.org/officeDocument/2006/relationships/revisionLog" Target="revisionLog89.xml"/><Relationship Id="rId177" Type="http://schemas.openxmlformats.org/officeDocument/2006/relationships/revisionLog" Target="revisionLog110.xml"/><Relationship Id="rId198" Type="http://schemas.openxmlformats.org/officeDocument/2006/relationships/revisionLog" Target="revisionLog131.xml"/><Relationship Id="rId172" Type="http://schemas.openxmlformats.org/officeDocument/2006/relationships/revisionLog" Target="revisionLog105.xml"/><Relationship Id="rId193" Type="http://schemas.openxmlformats.org/officeDocument/2006/relationships/revisionLog" Target="revisionLog126.xml"/><Relationship Id="rId202" Type="http://schemas.openxmlformats.org/officeDocument/2006/relationships/revisionLog" Target="revisionLog135.xml"/><Relationship Id="rId207" Type="http://schemas.openxmlformats.org/officeDocument/2006/relationships/revisionLog" Target="revisionLog140.xml"/><Relationship Id="rId223" Type="http://schemas.openxmlformats.org/officeDocument/2006/relationships/revisionLog" Target="revisionLog156.xml"/><Relationship Id="rId228" Type="http://schemas.openxmlformats.org/officeDocument/2006/relationships/revisionLog" Target="revisionLog161.xml"/><Relationship Id="rId109" Type="http://schemas.openxmlformats.org/officeDocument/2006/relationships/revisionLog" Target="revisionLog30.xml"/><Relationship Id="rId76" Type="http://schemas.openxmlformats.org/officeDocument/2006/relationships/revisionLog" Target="revisionLog76.xml"/><Relationship Id="rId97" Type="http://schemas.openxmlformats.org/officeDocument/2006/relationships/revisionLog" Target="revisionLog18.xml"/><Relationship Id="rId104" Type="http://schemas.openxmlformats.org/officeDocument/2006/relationships/revisionLog" Target="revisionLog25.xml"/><Relationship Id="rId120" Type="http://schemas.openxmlformats.org/officeDocument/2006/relationships/revisionLog" Target="revisionLog41.xml"/><Relationship Id="rId125" Type="http://schemas.openxmlformats.org/officeDocument/2006/relationships/revisionLog" Target="revisionLog46.xml"/><Relationship Id="rId141" Type="http://schemas.openxmlformats.org/officeDocument/2006/relationships/revisionLog" Target="revisionLog62.xml"/><Relationship Id="rId146" Type="http://schemas.openxmlformats.org/officeDocument/2006/relationships/revisionLog" Target="revisionLog67.xml"/><Relationship Id="rId167" Type="http://schemas.openxmlformats.org/officeDocument/2006/relationships/revisionLog" Target="revisionLog100.xml"/><Relationship Id="rId188" Type="http://schemas.openxmlformats.org/officeDocument/2006/relationships/revisionLog" Target="revisionLog121.xml"/><Relationship Id="rId71" Type="http://schemas.openxmlformats.org/officeDocument/2006/relationships/revisionLog" Target="revisionLog71.xml"/><Relationship Id="rId92" Type="http://schemas.openxmlformats.org/officeDocument/2006/relationships/revisionLog" Target="revisionLog13.xml"/><Relationship Id="rId162" Type="http://schemas.openxmlformats.org/officeDocument/2006/relationships/revisionLog" Target="revisionLog95.xml"/><Relationship Id="rId183" Type="http://schemas.openxmlformats.org/officeDocument/2006/relationships/revisionLog" Target="revisionLog116.xml"/><Relationship Id="rId213" Type="http://schemas.openxmlformats.org/officeDocument/2006/relationships/revisionLog" Target="revisionLog146.xml"/><Relationship Id="rId218" Type="http://schemas.openxmlformats.org/officeDocument/2006/relationships/revisionLog" Target="revisionLog151.xml"/><Relationship Id="rId234" Type="http://schemas.openxmlformats.org/officeDocument/2006/relationships/revisionLog" Target="revisionLog167.xml"/><Relationship Id="rId239" Type="http://schemas.openxmlformats.org/officeDocument/2006/relationships/revisionLog" Target="revisionLog172.xml"/><Relationship Id="rId87" Type="http://schemas.openxmlformats.org/officeDocument/2006/relationships/revisionLog" Target="revisionLog8.xml"/><Relationship Id="rId110" Type="http://schemas.openxmlformats.org/officeDocument/2006/relationships/revisionLog" Target="revisionLog31.xml"/><Relationship Id="rId115" Type="http://schemas.openxmlformats.org/officeDocument/2006/relationships/revisionLog" Target="revisionLog36.xml"/><Relationship Id="rId131" Type="http://schemas.openxmlformats.org/officeDocument/2006/relationships/revisionLog" Target="revisionLog52.xml"/><Relationship Id="rId136" Type="http://schemas.openxmlformats.org/officeDocument/2006/relationships/revisionLog" Target="revisionLog57.xml"/><Relationship Id="rId157" Type="http://schemas.openxmlformats.org/officeDocument/2006/relationships/revisionLog" Target="revisionLog90.xml"/><Relationship Id="rId178" Type="http://schemas.openxmlformats.org/officeDocument/2006/relationships/revisionLog" Target="revisionLog111.xml"/><Relationship Id="rId82" Type="http://schemas.openxmlformats.org/officeDocument/2006/relationships/revisionLog" Target="revisionLog3.xml"/><Relationship Id="rId152" Type="http://schemas.openxmlformats.org/officeDocument/2006/relationships/revisionLog" Target="revisionLog85.xml"/><Relationship Id="rId173" Type="http://schemas.openxmlformats.org/officeDocument/2006/relationships/revisionLog" Target="revisionLog106.xml"/><Relationship Id="rId194" Type="http://schemas.openxmlformats.org/officeDocument/2006/relationships/revisionLog" Target="revisionLog127.xml"/><Relationship Id="rId199" Type="http://schemas.openxmlformats.org/officeDocument/2006/relationships/revisionLog" Target="revisionLog132.xml"/><Relationship Id="rId203" Type="http://schemas.openxmlformats.org/officeDocument/2006/relationships/revisionLog" Target="revisionLog136.xml"/><Relationship Id="rId208" Type="http://schemas.openxmlformats.org/officeDocument/2006/relationships/revisionLog" Target="revisionLog141.xml"/><Relationship Id="rId229" Type="http://schemas.openxmlformats.org/officeDocument/2006/relationships/revisionLog" Target="revisionLog162.xml"/><Relationship Id="rId224" Type="http://schemas.openxmlformats.org/officeDocument/2006/relationships/revisionLog" Target="revisionLog157.xml"/><Relationship Id="rId77" Type="http://schemas.openxmlformats.org/officeDocument/2006/relationships/revisionLog" Target="revisionLog77.xml"/><Relationship Id="rId100" Type="http://schemas.openxmlformats.org/officeDocument/2006/relationships/revisionLog" Target="revisionLog21.xml"/><Relationship Id="rId105" Type="http://schemas.openxmlformats.org/officeDocument/2006/relationships/revisionLog" Target="revisionLog26.xml"/><Relationship Id="rId126" Type="http://schemas.openxmlformats.org/officeDocument/2006/relationships/revisionLog" Target="revisionLog47.xml"/><Relationship Id="rId147" Type="http://schemas.openxmlformats.org/officeDocument/2006/relationships/revisionLog" Target="revisionLog80.xml"/><Relationship Id="rId168" Type="http://schemas.openxmlformats.org/officeDocument/2006/relationships/revisionLog" Target="revisionLog101.xml"/><Relationship Id="rId72" Type="http://schemas.openxmlformats.org/officeDocument/2006/relationships/revisionLog" Target="revisionLog72.xml"/><Relationship Id="rId93" Type="http://schemas.openxmlformats.org/officeDocument/2006/relationships/revisionLog" Target="revisionLog14.xml"/><Relationship Id="rId98" Type="http://schemas.openxmlformats.org/officeDocument/2006/relationships/revisionLog" Target="revisionLog19.xml"/><Relationship Id="rId121" Type="http://schemas.openxmlformats.org/officeDocument/2006/relationships/revisionLog" Target="revisionLog42.xml"/><Relationship Id="rId142" Type="http://schemas.openxmlformats.org/officeDocument/2006/relationships/revisionLog" Target="revisionLog63.xml"/><Relationship Id="rId163" Type="http://schemas.openxmlformats.org/officeDocument/2006/relationships/revisionLog" Target="revisionLog96.xml"/><Relationship Id="rId184" Type="http://schemas.openxmlformats.org/officeDocument/2006/relationships/revisionLog" Target="revisionLog117.xml"/><Relationship Id="rId189" Type="http://schemas.openxmlformats.org/officeDocument/2006/relationships/revisionLog" Target="revisionLog122.xml"/><Relationship Id="rId219" Type="http://schemas.openxmlformats.org/officeDocument/2006/relationships/revisionLog" Target="revisionLog152.xml"/><Relationship Id="rId214" Type="http://schemas.openxmlformats.org/officeDocument/2006/relationships/revisionLog" Target="revisionLog147.xml"/><Relationship Id="rId230" Type="http://schemas.openxmlformats.org/officeDocument/2006/relationships/revisionLog" Target="revisionLog163.xml"/><Relationship Id="rId235" Type="http://schemas.openxmlformats.org/officeDocument/2006/relationships/revisionLog" Target="revisionLog168.xml"/><Relationship Id="rId116" Type="http://schemas.openxmlformats.org/officeDocument/2006/relationships/revisionLog" Target="revisionLog37.xml"/><Relationship Id="rId137" Type="http://schemas.openxmlformats.org/officeDocument/2006/relationships/revisionLog" Target="revisionLog58.xml"/><Relationship Id="rId158" Type="http://schemas.openxmlformats.org/officeDocument/2006/relationships/revisionLog" Target="revisionLog91.xml"/><Relationship Id="rId83" Type="http://schemas.openxmlformats.org/officeDocument/2006/relationships/revisionLog" Target="revisionLog4.xml"/><Relationship Id="rId88" Type="http://schemas.openxmlformats.org/officeDocument/2006/relationships/revisionLog" Target="revisionLog9.xml"/><Relationship Id="rId111" Type="http://schemas.openxmlformats.org/officeDocument/2006/relationships/revisionLog" Target="revisionLog32.xml"/><Relationship Id="rId132" Type="http://schemas.openxmlformats.org/officeDocument/2006/relationships/revisionLog" Target="revisionLog53.xml"/><Relationship Id="rId153" Type="http://schemas.openxmlformats.org/officeDocument/2006/relationships/revisionLog" Target="revisionLog86.xml"/><Relationship Id="rId174" Type="http://schemas.openxmlformats.org/officeDocument/2006/relationships/revisionLog" Target="revisionLog107.xml"/><Relationship Id="rId179" Type="http://schemas.openxmlformats.org/officeDocument/2006/relationships/revisionLog" Target="revisionLog112.xml"/><Relationship Id="rId195" Type="http://schemas.openxmlformats.org/officeDocument/2006/relationships/revisionLog" Target="revisionLog128.xml"/><Relationship Id="rId209" Type="http://schemas.openxmlformats.org/officeDocument/2006/relationships/revisionLog" Target="revisionLog142.xml"/><Relationship Id="rId190" Type="http://schemas.openxmlformats.org/officeDocument/2006/relationships/revisionLog" Target="revisionLog123.xml"/><Relationship Id="rId204" Type="http://schemas.openxmlformats.org/officeDocument/2006/relationships/revisionLog" Target="revisionLog137.xml"/><Relationship Id="rId220" Type="http://schemas.openxmlformats.org/officeDocument/2006/relationships/revisionLog" Target="revisionLog153.xml"/><Relationship Id="rId225" Type="http://schemas.openxmlformats.org/officeDocument/2006/relationships/revisionLog" Target="revisionLog158.xml"/><Relationship Id="rId106" Type="http://schemas.openxmlformats.org/officeDocument/2006/relationships/revisionLog" Target="revisionLog27.xml"/><Relationship Id="rId127" Type="http://schemas.openxmlformats.org/officeDocument/2006/relationships/revisionLog" Target="revisionLog48.xml"/><Relationship Id="rId78" Type="http://schemas.openxmlformats.org/officeDocument/2006/relationships/revisionLog" Target="revisionLog78.xml"/><Relationship Id="rId73" Type="http://schemas.openxmlformats.org/officeDocument/2006/relationships/revisionLog" Target="revisionLog73.xml"/><Relationship Id="rId94" Type="http://schemas.openxmlformats.org/officeDocument/2006/relationships/revisionLog" Target="revisionLog15.xml"/><Relationship Id="rId99" Type="http://schemas.openxmlformats.org/officeDocument/2006/relationships/revisionLog" Target="revisionLog20.xml"/><Relationship Id="rId101" Type="http://schemas.openxmlformats.org/officeDocument/2006/relationships/revisionLog" Target="revisionLog22.xml"/><Relationship Id="rId122" Type="http://schemas.openxmlformats.org/officeDocument/2006/relationships/revisionLog" Target="revisionLog43.xml"/><Relationship Id="rId143" Type="http://schemas.openxmlformats.org/officeDocument/2006/relationships/revisionLog" Target="revisionLog64.xml"/><Relationship Id="rId148" Type="http://schemas.openxmlformats.org/officeDocument/2006/relationships/revisionLog" Target="revisionLog81.xml"/><Relationship Id="rId164" Type="http://schemas.openxmlformats.org/officeDocument/2006/relationships/revisionLog" Target="revisionLog97.xml"/><Relationship Id="rId169" Type="http://schemas.openxmlformats.org/officeDocument/2006/relationships/revisionLog" Target="revisionLog102.xml"/><Relationship Id="rId185" Type="http://schemas.openxmlformats.org/officeDocument/2006/relationships/revisionLog" Target="revisionLog118.xml"/><Relationship Id="rId180" Type="http://schemas.openxmlformats.org/officeDocument/2006/relationships/revisionLog" Target="revisionLog113.xml"/><Relationship Id="rId210" Type="http://schemas.openxmlformats.org/officeDocument/2006/relationships/revisionLog" Target="revisionLog143.xml"/><Relationship Id="rId215" Type="http://schemas.openxmlformats.org/officeDocument/2006/relationships/revisionLog" Target="revisionLog148.xml"/><Relationship Id="rId236" Type="http://schemas.openxmlformats.org/officeDocument/2006/relationships/revisionLog" Target="revisionLog169.xml"/><Relationship Id="rId231" Type="http://schemas.openxmlformats.org/officeDocument/2006/relationships/revisionLog" Target="revisionLog164.xml"/><Relationship Id="rId68" Type="http://schemas.openxmlformats.org/officeDocument/2006/relationships/revisionLog" Target="revisionLog68.xml"/><Relationship Id="rId89" Type="http://schemas.openxmlformats.org/officeDocument/2006/relationships/revisionLog" Target="revisionLog10.xml"/><Relationship Id="rId112" Type="http://schemas.openxmlformats.org/officeDocument/2006/relationships/revisionLog" Target="revisionLog33.xml"/><Relationship Id="rId133" Type="http://schemas.openxmlformats.org/officeDocument/2006/relationships/revisionLog" Target="revisionLog54.xml"/><Relationship Id="rId154" Type="http://schemas.openxmlformats.org/officeDocument/2006/relationships/revisionLog" Target="revisionLog87.xml"/><Relationship Id="rId175" Type="http://schemas.openxmlformats.org/officeDocument/2006/relationships/revisionLog" Target="revisionLog108.xml"/><Relationship Id="rId196" Type="http://schemas.openxmlformats.org/officeDocument/2006/relationships/revisionLog" Target="revisionLog129.xml"/><Relationship Id="rId200" Type="http://schemas.openxmlformats.org/officeDocument/2006/relationships/revisionLog" Target="revisionLog133.xml"/><Relationship Id="rId221" Type="http://schemas.openxmlformats.org/officeDocument/2006/relationships/revisionLog" Target="revisionLog154.xml"/><Relationship Id="rId79" Type="http://schemas.openxmlformats.org/officeDocument/2006/relationships/revisionLog" Target="revisionLog79.xml"/><Relationship Id="rId102" Type="http://schemas.openxmlformats.org/officeDocument/2006/relationships/revisionLog" Target="revisionLog23.xml"/><Relationship Id="rId123" Type="http://schemas.openxmlformats.org/officeDocument/2006/relationships/revisionLog" Target="revisionLog44.xml"/><Relationship Id="rId144" Type="http://schemas.openxmlformats.org/officeDocument/2006/relationships/revisionLog" Target="revisionLog65.xml"/><Relationship Id="rId90" Type="http://schemas.openxmlformats.org/officeDocument/2006/relationships/revisionLog" Target="revisionLog11.xml"/><Relationship Id="rId165" Type="http://schemas.openxmlformats.org/officeDocument/2006/relationships/revisionLog" Target="revisionLog98.xml"/><Relationship Id="rId186" Type="http://schemas.openxmlformats.org/officeDocument/2006/relationships/revisionLog" Target="revisionLog119.xml"/><Relationship Id="rId211" Type="http://schemas.openxmlformats.org/officeDocument/2006/relationships/revisionLog" Target="revisionLog144.xml"/><Relationship Id="rId232" Type="http://schemas.openxmlformats.org/officeDocument/2006/relationships/revisionLog" Target="revisionLog165.xml"/><Relationship Id="rId69" Type="http://schemas.openxmlformats.org/officeDocument/2006/relationships/revisionLog" Target="revisionLog69.xml"/><Relationship Id="rId113" Type="http://schemas.openxmlformats.org/officeDocument/2006/relationships/revisionLog" Target="revisionLog34.xml"/><Relationship Id="rId134" Type="http://schemas.openxmlformats.org/officeDocument/2006/relationships/revisionLog" Target="revisionLog55.xml"/><Relationship Id="rId80" Type="http://schemas.openxmlformats.org/officeDocument/2006/relationships/revisionLog" Target="revisionLog1.xml"/><Relationship Id="rId155" Type="http://schemas.openxmlformats.org/officeDocument/2006/relationships/revisionLog" Target="revisionLog88.xml"/><Relationship Id="rId176" Type="http://schemas.openxmlformats.org/officeDocument/2006/relationships/revisionLog" Target="revisionLog109.xml"/><Relationship Id="rId197" Type="http://schemas.openxmlformats.org/officeDocument/2006/relationships/revisionLog" Target="revisionLog130.xml"/><Relationship Id="rId201" Type="http://schemas.openxmlformats.org/officeDocument/2006/relationships/revisionLog" Target="revisionLog134.xml"/><Relationship Id="rId222" Type="http://schemas.openxmlformats.org/officeDocument/2006/relationships/revisionLog" Target="revisionLog155.xml"/><Relationship Id="rId103" Type="http://schemas.openxmlformats.org/officeDocument/2006/relationships/revisionLog" Target="revisionLog24.xml"/><Relationship Id="rId124" Type="http://schemas.openxmlformats.org/officeDocument/2006/relationships/revisionLog" Target="revisionLog4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03E607A-6C28-4F7C-AEA4-07CFE200F35A}" diskRevisions="1" revisionId="2262" version="239">
  <header guid="{6583A07F-2778-4A2F-A4E7-E4F6D81E5D8C}" dateTime="2022-02-23T13:49:08" maxSheetId="15" userName="Lyudmila Bondzhova" r:id="rId68" minRId="420" maxRId="42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9E3B32A-E58B-49FB-9722-E145BB2465AE}" dateTime="2022-02-23T18:05:28" maxSheetId="15" userName="Antoaneta Ivanova Todorova" r:id="rId69" minRId="432" maxRId="4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A04240F-B8F4-4F29-8AE8-4C141881FFF1}" dateTime="2022-02-24T10:49:44" maxSheetId="15" userName="Vladimir Papazov" r:id="rId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EDD9794-541D-4D8E-BBCE-24017CE6B705}" dateTime="2022-02-24T12:09:09" maxSheetId="15" userName="Vladimir Papazov" r:id="rId71" minRId="454" maxRId="4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05F232-2C41-42CD-A72E-459FCC200F80}" dateTime="2022-02-24T12:09:42" maxSheetId="15" userName="Vladimir Papazov" r:id="rId72" minRId="464" maxRId="4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9E16FD-7DA1-44DB-9CD7-95F3CCE583AC}" dateTime="2022-02-24T12:10:17" maxSheetId="15" userName="Vladimir Papazov" r:id="rId73" minRId="472" maxRId="4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B634DF-7CD4-4C8F-B0A9-077C33D97C51}" dateTime="2022-02-24T12:10:51" maxSheetId="15" userName="Vladimir Papazov" r:id="rId74" minRId="476" maxRId="4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AB7F78-5778-4CA9-8EFB-3DE04876B5AA}" dateTime="2022-02-24T12:11:46" maxSheetId="15" userName="Vladimir Papazov" r:id="rId75" minRId="480" maxRId="4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715F27-26AF-4614-8988-BF74E86C192B}" dateTime="2022-02-24T14:30:26" maxSheetId="15" userName="Vladimir Papazov" r:id="rId76" minRId="492" maxRId="4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06146B-45A9-42AA-85A2-032C4BA48A11}" dateTime="2022-04-07T15:38:17" maxSheetId="15" userName="Vladimir Papazov" r:id="rId77" minRId="499" maxRId="5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73A62A-D9F3-4E8D-968B-4B569545B08E}" dateTime="2022-04-07T15:41:57" maxSheetId="15" userName="Vladimir Papazov" r:id="rId78" minRId="518" maxRId="5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15B39F-4202-411E-9C4F-6BD47BBD73D3}" dateTime="2022-04-07T16:24:00" maxSheetId="15" userName="Vladimir Papazov" r:id="rId79" minRId="525" maxRId="5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D26A0F3-E8B5-4660-A039-75EBEEB1ED10}" dateTime="2022-04-08T10:19:39" maxSheetId="15" userName="Vladimir Papazov" r:id="rId80" minRId="540" maxRId="5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0ADB5B7-AA31-49EA-82F0-B2E74BB6F194}" dateTime="2022-04-08T10:29:15" maxSheetId="15" userName="Vladimir Papazov" r:id="rId81" minRId="561" maxRId="5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6276636-C35C-4DCA-A76F-DAC89EE01CBF}" dateTime="2022-04-08T14:11:19" maxSheetId="15" userName="Vladimir Papazov" r:id="rId82" minRId="567" maxRId="5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05343B6-8761-48C1-B5E3-1C2D9AA67607}" dateTime="2022-04-08T14:40:42" maxSheetId="15" userName="Vladimir Papazov" r:id="rId83" minRId="592" maxRId="6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102BE0-7293-4412-97DE-E42C055DD144}" dateTime="2022-04-11T10:43:30" maxSheetId="15" userName="Vladimir Papazov" r:id="rId84" minRId="6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784249-3D61-4B1A-A6FC-769B71E30E7F}" dateTime="2022-04-11T11:06:25" maxSheetId="15" userName="Vladimir Papazov" r:id="rId85" minRId="614" maxRId="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EE37CF-5E97-45C7-B326-CACB52F85A4C}" dateTime="2022-04-11T11:06:52" maxSheetId="15" userName="Vladimir Papazov" r:id="rId86" minRId="627" maxRId="6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6087590-904B-4D71-B49E-AFD131BA47E3}" dateTime="2022-04-11T11:10:13" maxSheetId="15" userName="Vladimir Papazov" r:id="rId87" minRId="629" maxRId="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4171824-E6D1-4CA2-85E0-5D6FCA82578F}" dateTime="2022-04-12T10:51:06" maxSheetId="15" userName="Vladimir Papazov" r:id="rId88" minRId="631" maxRId="6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B2B9E2-5764-44DB-B651-0ADC8B809456}" dateTime="2022-04-12T10:58:47" maxSheetId="15" userName="Vladimir Papazov" r:id="rId89" minRId="644" maxRId="6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37E8E4F-1904-4B06-928A-E8F90097A030}" dateTime="2022-04-12T11:00:29" maxSheetId="15" userName="Vladimir Papazov" r:id="rId90" minRId="6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A7FB29-192C-4600-9C11-EF62EAE2D2F6}" dateTime="2022-04-14T10:53:42" maxSheetId="15" userName="Antoaneta Ivanova Todorova" r:id="rId91" minRId="657" maxRId="6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4CCAE24-EE43-4685-8D80-B62126250E1F}" dateTime="2022-04-14T10:57:12" maxSheetId="15" userName="Antoaneta Ivanova Todorova" r:id="rId92" minRId="659" maxRId="6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929C40-320D-465C-892F-1752352090FA}" dateTime="2022-04-14T10:58:54" maxSheetId="15" userName="Antoaneta Ivanova Todorova" r:id="rId93" minRId="662" maxRId="6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8AA1819-5253-420C-9C62-9F3245C7DCC2}" dateTime="2022-04-14T10:59:45" maxSheetId="15" userName="Antoaneta Ivanova Todorova" r:id="rId94" minRId="6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4BB339-646C-4185-9428-8E0B4C359329}" dateTime="2022-04-14T11:00:04" maxSheetId="15" userName="Antoaneta Ivanova Todorova" r:id="rId95" minRId="6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A1EDFD-615B-45C0-A393-A33BF746E5B7}" dateTime="2022-04-14T11:00:24" maxSheetId="15" userName="Antoaneta Ivanova Todorova" r:id="rId96" minRId="6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DE878CD-9A74-433C-AB42-A67FEA19AD9A}" dateTime="2022-04-14T11:03:14" maxSheetId="15" userName="Antoaneta Ivanova Todorova" r:id="rId97" minRId="6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C89229-2DC8-426C-A68B-1FB3FADC2071}" dateTime="2022-04-14T11:04:28" maxSheetId="15" userName="Antoaneta Ivanova Todorova" r:id="rId98" minRId="669" maxRId="6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6AB941-C7B4-4E77-B86A-099645E32247}" dateTime="2022-04-14T11:05:22" maxSheetId="15" userName="Antoaneta Ivanova Todorova" r:id="rId99" minRId="6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81B854-1B6B-4A03-8DF1-2A5CE32E7E80}" dateTime="2022-04-14T11:06:29" maxSheetId="15" userName="Antoaneta Ivanova Todorova" r:id="rId100" minRId="672" maxRId="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EE05EE-BE86-4B79-A02D-8F6E15A2CC17}" dateTime="2022-04-14T11:10:08" maxSheetId="15" userName="Antoaneta Ivanova Todorova" r:id="rId101" minRId="674" maxRId="6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7B689D-535A-4887-82B9-150B4803D52E}" dateTime="2022-04-14T11:12:32" maxSheetId="15" userName="Antoaneta Ivanova Todorova" r:id="rId1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826D816-FD58-41C6-BCA8-CF51614431F5}" dateTime="2022-04-14T11:24:00" maxSheetId="15" userName="Antoaneta Ivanova Todorova" r:id="rId1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FDE0B4-A6BF-4356-9CF2-5EA29B8EA801}" dateTime="2022-04-14T11:26:46" maxSheetId="15" userName="Vladimir Papazov" r:id="rId1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120579C-E19D-4B17-B081-F710B53DB63C}" dateTime="2022-04-14T11:31:57" maxSheetId="15" userName="Vladimir Papazov" r:id="rId105" minRId="706" maxRId="7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058D348-CACB-432E-A33D-9F1FF91AAF4B}" dateTime="2022-04-14T11:42:49" maxSheetId="15" userName="Vladimir Papazov" r:id="rId106" minRId="718" maxRId="7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0AAD462-E532-448A-932D-49E36D5BCC5E}" dateTime="2022-04-14T13:48:23" maxSheetId="15" userName="Vladimir Papazov" r:id="rId107" minRId="720" maxRId="7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D62047D-D18C-4661-AB4A-EEE89CE1BA5F}" dateTime="2022-04-14T13:49:58" maxSheetId="15" userName="Antoaneta Ivanova Todorova" r:id="rId108" minRId="7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70465F-EB8E-4C91-9DA5-493C1645D7D8}" dateTime="2022-04-14T13:51:03" maxSheetId="15" userName="Antoaneta Ivanova Todorova" r:id="rId109" minRId="734" maxRId="7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1112E40-AECB-4BD2-BFD3-F8323EA08948}" dateTime="2022-04-14T13:53:21" maxSheetId="15" userName="Antoaneta Ivanova Todorova" r:id="rId110" minRId="7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64D753-D5BB-4875-880B-7C9778C2DF77}" dateTime="2022-04-14T13:54:06" maxSheetId="15" userName="Antoaneta Ivanova Todorova" r:id="rId111" minRId="7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F908A3-EBC9-4B77-9EA3-55EE276E5A84}" dateTime="2022-04-14T14:05:41" maxSheetId="15" userName="Antoaneta Ivanova Todorova" r:id="rId112" minRId="739" maxRId="7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FF9F83-7CA4-4AB8-9311-28ECCCE5F645}" dateTime="2022-04-14T14:08:27" maxSheetId="15" userName="Antoaneta Ivanova Todorova" r:id="rId113" minRId="744" maxRId="7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3362A75-150F-48F4-9825-29602733F890}" dateTime="2022-04-14T14:23:41" maxSheetId="15" userName="Vladimir Papazov" r:id="rId114" minRId="746" maxRId="7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B09BD01-2DF9-4BA2-8FEC-A266FA7E9140}" dateTime="2022-04-14T14:27:00" maxSheetId="15" userName="Antoaneta Ivanova Todorova" r:id="rId115" minRId="762" maxRId="7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047A283-D8AA-4C78-A728-6BED360EFC7B}" dateTime="2022-04-14T14:29:53" maxSheetId="15" userName="Antoaneta Ivanova Todorova" r:id="rId116" minRId="7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B70AEA7-E41C-4D86-951F-024728B8581E}" dateTime="2022-04-14T14:32:06" maxSheetId="15" userName="Lyudmila Bondzhova" r:id="rId117" minRId="765" maxRId="7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E7F67D-D99F-44CF-8364-04D93E9199B3}" dateTime="2022-04-14T14:32:41" maxSheetId="15" userName="Lyudmila Bondzhova" r:id="rId118" minRId="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E8DFE51-8666-479F-ADD4-A632FACCB6D7}" dateTime="2022-04-14T14:42:30" maxSheetId="15" userName="Lyudmila Bondzhova" r:id="rId119" minRId="770" maxRId="7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5A82D5-7CA7-41B9-9BB3-3F2B58655998}" dateTime="2022-04-14T14:59:22" maxSheetId="15" userName="Antoaneta Ivanova Todorova" r:id="rId120" minRId="77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D1F8E12-D63D-49E9-BCEF-45499C40DE32}" dateTime="2022-04-14T15:09:34" maxSheetId="15" userName="Antoaneta Ivanova Todorova" r:id="rId121" minRId="7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4E2CC4-7C84-44AC-9F95-BD90AE204AB3}" dateTime="2022-04-14T15:34:03" maxSheetId="15" userName="Vladimir Papazov" r:id="rId1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3AD4E6-2537-473E-953F-371315EE24B5}" dateTime="2022-04-14T15:34:32" maxSheetId="15" userName="Vladimir Papazov" r:id="rId123" minRId="794" maxRId="7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DD5C06-7DF5-4990-9F4C-E70F7CD26FD5}" dateTime="2022-04-14T15:35:25" maxSheetId="15" userName="Vladimir Papazov" r:id="rId124" minRId="796" maxRId="7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8156FB-7216-45EE-88B1-E815747F9F4B}" dateTime="2022-04-14T15:51:13" maxSheetId="15" userName="Vladimir Papazov" r:id="rId1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EF28A2-7623-45BA-96AF-CC7895583F20}" dateTime="2022-04-26T10:42:27" maxSheetId="15" userName="Vladimir Papazov" r:id="rId126" minRId="8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161DAAF-5950-4D36-A62D-7934D13E6915}" dateTime="2022-05-20T14:54:01" maxSheetId="15" userName="Vladimir Papazov" r:id="rId1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1FFE30-48FF-4FC7-B0AF-519F00318149}" dateTime="2022-05-20T14:56:57" maxSheetId="15" userName="Vladimir Papazov" r:id="rId128" minRId="830" maxRId="89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3FDF35-C3C6-46E1-912A-48DC6E4400CF}" dateTime="2022-05-20T15:09:25" maxSheetId="15" userName="Vladimir Papazov" r:id="rId129" minRId="892" maxRId="9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1A6AB1E-17C7-4A0B-A719-0A49C25DA79A}" dateTime="2022-05-20T15:19:43" maxSheetId="15" userName="Vladimir Papazov" r:id="rId130" minRId="936" maxRId="9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577ADAF-DED1-4896-B12A-E72C86EFC76E}" dateTime="2022-05-20T15:26:06" maxSheetId="15" userName="Vladimir Papazov" r:id="rId131" minRId="9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987268-E630-444C-B6DB-B81DF32C1991}" dateTime="2022-05-20T15:30:40" maxSheetId="15" userName="Vladimir Papazov" r:id="rId132" minRId="958" maxRId="9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27B7E3-1444-4A70-9F87-F63845E373F2}" dateTime="2022-05-20T15:42:25" maxSheetId="15" userName="Vladimir Papazov" r:id="rId133" minRId="994" maxRId="10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B3D8AE-BED2-4FD2-8C0B-CCD9D6607860}" dateTime="2022-05-20T15:52:07" maxSheetId="15" userName="Vladimir Papazov" r:id="rId134" minRId="1019" maxRId="10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DC796AB-4D02-4162-A90B-82C33757F22E}" dateTime="2022-05-20T15:59:50" maxSheetId="15" userName="Vladimir Papazov" r:id="rId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C05E41-7C68-403D-A279-7E97391C9012}" dateTime="2022-05-21T10:52:56" maxSheetId="15" userName="Vladimir Papazov" r:id="rId136" minRId="1051" maxRId="10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DA331B-63C4-467F-B3F3-529AF377A861}" dateTime="2022-05-21T11:01:23" maxSheetId="15" userName="Vladimir Papazov" r:id="rId137" minRId="1088" maxRId="11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F89C369-2C84-4DE6-8CE5-D3BDBE411D05}" dateTime="2022-05-21T11:34:00" maxSheetId="15" userName="Antoaneta Ivanova Todorova" r:id="rId138" minRId="1129" maxRId="11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063B7A-3DA1-4A1A-982A-F58BB483AA90}" dateTime="2022-05-21T11:34:43" maxSheetId="15" userName="Antoaneta Ivanova Todorova" r:id="rId139" minRId="1197" maxRId="12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0BFB2C7-0FB7-40EA-B7F2-93B0EBEF9345}" dateTime="2022-05-21T11:35:31" maxSheetId="15" userName="Antoaneta Ivanova Todorova" r:id="rId140" minRId="1233" maxRId="12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EB9CF64-2CEB-4ADE-BAAD-41D2D9F27E86}" dateTime="2022-05-21T11:35:56" maxSheetId="15" userName="Antoaneta Ivanova Todorova" r:id="rId141" minRId="1235" maxRId="12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B98C79-1B54-485C-A0E2-3E8E842DB2D8}" dateTime="2022-05-21T11:36:13" maxSheetId="15" userName="Antoaneta Ivanova Todorova" r:id="rId142" minRId="12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6B06E48-716E-4AF2-9669-08BE33EDA3EC}" dateTime="2022-05-21T11:36:32" maxSheetId="15" userName="Antoaneta Ivanova Todorova" r:id="rId143" minRId="1238" maxRId="12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3C97EA-A114-40BF-8452-6837A8916293}" dateTime="2022-05-21T11:36:56" maxSheetId="15" userName="Antoaneta Ivanova Todorova" r:id="rId144" minRId="1240" maxRId="12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5C76EC4-60DF-402E-855F-8F92E89CCA7C}" dateTime="2022-05-21T11:37:08" maxSheetId="15" userName="Antoaneta Ivanova Todorova" r:id="rId145" minRId="12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DB1843-11D0-4035-B666-1B184418B313}" dateTime="2022-05-21T11:37:50" maxSheetId="15" userName="Antoaneta Ivanova Todorova" r:id="rId146" minRId="1243" maxRId="12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AFD501D-5BE2-4315-AEEB-1AA751339607}" dateTime="2022-05-21T11:38:07" maxSheetId="15" userName="Antoaneta Ivanova Todorova" r:id="rId147" minRId="12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8E5B6C-7931-4B14-86B4-ABD44D4E238C}" dateTime="2022-05-21T11:38:36" maxSheetId="15" userName="Antoaneta Ivanova Todorova" r:id="rId148" minRId="1256" maxRId="12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66125E-B9A8-4DB9-B4F7-E07366C85DF5}" dateTime="2022-05-21T11:39:15" maxSheetId="15" userName="Antoaneta Ivanova Todorova" r:id="rId149" minRId="12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14EF06-BDB9-4DA8-B7AB-C10F61860560}" dateTime="2022-05-21T11:39:26" maxSheetId="15" userName="Vladimir Papazov" r:id="rId150" minRId="1259" maxRId="12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51BED7D-6A2D-4368-9992-358DAF840192}" dateTime="2022-05-21T11:39:58" maxSheetId="15" userName="Antoaneta Ivanova Todorova" r:id="rId151" minRId="1277" maxRId="12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1D80E1-8092-4B8A-BD9F-5519B9143270}" dateTime="2022-05-21T11:40:16" maxSheetId="15" userName="Antoaneta Ivanova Todorova" r:id="rId152" minRId="12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B2FA0BB-07F2-4D26-A9E7-DD4D2287352E}" dateTime="2022-05-21T11:41:25" maxSheetId="15" userName="Antoaneta Ivanova Todorova" r:id="rId153" minRId="1280" maxRId="12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4B6A9BA-1B94-4D95-B67E-F34BBF744B1A}" dateTime="2022-05-21T11:42:12" maxSheetId="15" userName="Antoaneta Ivanova Todorova" r:id="rId154" minRId="1283" maxRId="12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AC687CD-3CD2-4D4E-90A3-F7046BC2908F}" dateTime="2022-05-21T11:42:23" maxSheetId="15" userName="Antoaneta Ivanova Todorova" r:id="rId155" minRId="12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2D4CD7-C6CA-4FFE-B4A9-29A297DD3C8A}" dateTime="2022-05-21T11:42:35" maxSheetId="15" userName="Antoaneta Ivanova Todorova" r:id="rId156" minRId="128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564B924-BDF6-48F6-AFDA-7194FE9A7C45}" dateTime="2022-05-21T11:42:51" maxSheetId="15" userName="Antoaneta Ivanova Todorova" r:id="rId157" minRId="12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83DD8E3-531D-4A5C-B898-CDDD1B3D0610}" dateTime="2022-05-21T11:43:00" maxSheetId="15" userName="Antoaneta Ivanova Todorova" r:id="rId158" minRId="12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51C9801-EFF8-4EC8-89A1-6740FA816BF0}" dateTime="2022-05-21T11:43:44" maxSheetId="15" userName="Antoaneta Ivanova Todorova" r:id="rId159" minRId="1291" maxRId="12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9799D2-9429-4B57-A8F2-D1EE6B01EA9A}" dateTime="2022-05-21T11:46:20" maxSheetId="15" userName="Antoaneta Ivanova Todorova" r:id="rId160" minRId="1294" maxRId="1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6267C07-A1F8-43DE-80D3-98F7EEDEC388}" dateTime="2022-05-21T11:47:00" maxSheetId="15" userName="Antoaneta Ivanova Todorova" r:id="rId161" minRId="1306" maxRId="13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7CDDBC-DD2C-4350-A4B7-797DBEEC1C94}" dateTime="2022-05-21T11:47:22" maxSheetId="15" userName="Antoaneta Ivanova Todorova" r:id="rId162" minRId="1308" maxRId="13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32345A6-A2A6-49FE-918C-00382C484825}" dateTime="2022-05-21T11:48:10" maxSheetId="15" userName="Antoaneta Ivanova Todorova" r:id="rId163" minRId="1310" maxRId="13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9766730-5279-448A-B00A-42DAAAE71E8A}" dateTime="2022-05-21T11:48:28" maxSheetId="15" userName="Antoaneta Ivanova Todorova" r:id="rId164" minRId="1312" maxRId="1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F4C590E-48FE-49D9-A96F-05D50314FF3F}" dateTime="2022-05-21T11:50:41" maxSheetId="15" userName="Antoaneta Ivanova Todorova" r:id="rId165" minRId="13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6FC7A20-2A5C-42D9-9CD7-64BCC043C758}" dateTime="2022-05-21T11:59:35" maxSheetId="15" userName="Antoaneta Ivanova Todorova" r:id="rId1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45DA3A-C104-403A-AC99-86714E73FD0E}" dateTime="2022-05-21T12:01:21" maxSheetId="15" userName="Vladimir Papazov" r:id="rId167" minRId="1335" maxRId="13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8BB0F5-9D51-45F2-9151-66A6CE5F3E97}" dateTime="2022-05-21T12:21:33" maxSheetId="15" userName="Antoaneta Ivanova Todorova" r:id="rId1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9F63092-4A60-4203-A26E-0B191FC3B6B6}" dateTime="2022-05-21T12:23:42" maxSheetId="15" userName="Antoaneta Ivanova Todorova" r:id="rId1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36D27F-390A-44FD-A4E2-FAD6F2757366}" dateTime="2022-05-21T12:28:07" maxSheetId="15" userName="Vladimir Papazov" r:id="rId170" minRId="1357" maxRId="13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E0C9C7-B264-439B-B2C0-D9EFFF89C62A}" dateTime="2022-05-21T12:30:51" maxSheetId="15" userName="Vladimir Papazov" r:id="rId171" minRId="1373" maxRId="13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A4ACBC-0F80-4181-B8A2-F6B39FC0336C}" dateTime="2022-05-21T12:48:08" maxSheetId="15" userName="Lyudmila Bondzhova" r:id="rId172" minRId="1395" maxRId="13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956009-D65A-48D4-B4E6-FB97F8A185FF}" dateTime="2022-05-21T12:51:04" maxSheetId="15" userName="Antoaneta Ivanova Todorova" r:id="rId173" minRId="1397" maxRId="14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C456A6-C0FA-4BA6-90B9-8599F916CD1F}" dateTime="2022-05-21T12:51:59" maxSheetId="15" userName="Antoaneta Ivanova Todorova" r:id="rId174" minRId="1411" maxRId="14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7E19C10-3B6E-4AD4-84E8-B25741544AA8}" dateTime="2022-05-21T12:52:12" maxSheetId="15" userName="Antoaneta Ivanova Todorova" r:id="rId175" minRId="14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91B8C4B-42DE-46F8-B49E-FE9F020C87A6}" dateTime="2022-05-21T12:52:22" maxSheetId="15" userName="Antoaneta Ivanova Todorova" r:id="rId176" minRId="14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FBFB720-7A63-4D24-A95C-F2C78919ACFB}" dateTime="2022-05-21T12:52:41" maxSheetId="15" userName="Antoaneta Ivanova Todorova" r:id="rId177" minRId="1415" maxRId="14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F4B3404-FE1B-4993-A07B-CA6CFEDF491B}" dateTime="2022-05-21T12:53:08" maxSheetId="15" userName="Antoaneta Ivanova Todorova" r:id="rId178" minRId="1417" maxRId="14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6B17E09-D811-48CF-871A-13027CA3DC9E}" dateTime="2022-05-21T12:53:24" maxSheetId="15" userName="Antoaneta Ivanova Todorova" r:id="rId179" minRId="1419" maxRId="14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7AEDA14-28D9-49E2-AFA1-40179AD1CB99}" dateTime="2022-05-21T12:56:16" maxSheetId="15" userName="Antoaneta Ivanova Todorova" r:id="rId180" minRId="1423" maxRId="14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9CE55A2-7CF5-491E-9ADE-5332FC3E8AF7}" dateTime="2022-05-21T12:57:07" maxSheetId="15" userName="Antoaneta Ivanova Todorova" r:id="rId181" minRId="1440" maxRId="14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9CE975-12C2-419D-B419-FE5F228E6B22}" dateTime="2022-05-21T12:57:58" maxSheetId="15" userName="Antoaneta Ivanova Todorova" r:id="rId182" minRId="1443" maxRId="14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4705A0-3981-4208-9001-6C147C844162}" dateTime="2022-05-21T12:58:37" maxSheetId="15" userName="Antoaneta Ivanova Todorova" r:id="rId183" minRId="1445" maxRId="14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B9B32C-15C9-4003-B489-F8E8DE94C380}" dateTime="2022-05-21T12:58:58" maxSheetId="15" userName="Antoaneta Ivanova Todorova" r:id="rId184" minRId="145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F807B4-2C3B-4684-A34C-059A813E0BA6}" dateTime="2022-05-21T13:00:33" maxSheetId="15" userName="Antoaneta Ivanova Todorova" r:id="rId185" minRId="1460" maxRId="14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B19F0F-BF15-4928-B965-CA8C781CDD05}" dateTime="2022-05-21T13:00:49" maxSheetId="15" userName="Antoaneta Ivanova Todorova" r:id="rId186" minRId="14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8007578-F815-4EE2-A25F-E80CFC55F05B}" dateTime="2022-05-21T13:00:59" maxSheetId="15" userName="Antoaneta Ivanova Todorova" r:id="rId187" minRId="14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CADD3B0-E74F-4D46-BC48-F3653B780778}" dateTime="2022-05-21T13:01:22" maxSheetId="15" userName="Antoaneta Ivanova Todorova" r:id="rId188" minRId="1464" maxRId="14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BBBF8B1-FD68-4F94-BD66-07CC0BCC626C}" dateTime="2022-05-21T13:01:56" maxSheetId="15" userName="Antoaneta Ivanova Todorova" r:id="rId189" minRId="1466" maxRId="14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E69050-C5F5-4DFF-80F4-C382F2F27460}" dateTime="2022-05-21T13:02:12" maxSheetId="15" userName="Antoaneta Ivanova Todorova" r:id="rId190" minRId="1468" maxRId="14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85F372C-FAA9-426E-B2AC-65C82A3E1868}" dateTime="2022-05-21T13:02:46" maxSheetId="15" userName="Antoaneta Ivanova Todorova" r:id="rId191" minRId="14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850F22-57EF-4BDB-9D3F-DAE13FD48112}" dateTime="2022-05-21T13:03:08" maxSheetId="15" userName="Antoaneta Ivanova Todorova" r:id="rId192" minRId="14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F72EE3F-B28E-4665-9BD0-88FA5DCB3B2E}" dateTime="2022-05-21T13:08:26" maxSheetId="15" userName="Antoaneta Ivanova Todorova" r:id="rId193" minRId="1472" maxRId="14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3597B5-987C-41E7-B34F-ADF3D3967331}" dateTime="2022-05-21T13:09:59" maxSheetId="15" userName="Antoaneta Ivanova Todorova" r:id="rId194" minRId="1484" maxRId="148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A068C1-589A-47E6-80CC-1E14022C1CF9}" dateTime="2022-05-21T13:11:31" maxSheetId="15" userName="Antoaneta Ivanova Todorova" r:id="rId195" minRId="14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BB4748-7A25-4280-8C1B-7B063515181C}" dateTime="2022-05-21T15:11:37" maxSheetId="15" userName="Vladimir Papazov" r:id="rId1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FC20B6-07AF-440A-A931-EA0CEAEFC4B2}" dateTime="2022-08-17T10:38:56" maxSheetId="15" userName="Vladimir Papazov" r:id="rId197" minRId="1500" maxRId="15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CBF4A8-C17E-432D-9673-E85EA6E01D60}" dateTime="2022-08-17T10:46:38" maxSheetId="15" userName="Vladimir Papazov" r:id="rId198" minRId="1547" maxRId="157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239ECC-133A-4302-9170-FB5D9AA86219}" dateTime="2022-08-17T14:21:12" maxSheetId="15" userName="Vladimir Papazov" r:id="rId199" minRId="1583" maxRId="16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849EB55-2199-4AB0-A00B-C4670BAA6200}" dateTime="2022-08-17T14:28:14" maxSheetId="15" userName="Vladimir Papazov" r:id="rId200" minRId="1615" maxRId="16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690710-9863-4F40-B871-9DDDDFF4C97C}" dateTime="2022-08-17T14:31:02" maxSheetId="15" userName="Vladimir Papazov" r:id="rId201" minRId="1661" maxRId="16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78BDCE-EC3E-4202-96D5-80B35587DAEC}" dateTime="2022-08-17T15:47:08" maxSheetId="15" userName="Vladimir Papazov" r:id="rId202" minRId="1695" maxRId="17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3D8932A-6B71-47DC-A04C-A32C3A7659A5}" dateTime="2022-08-17T16:24:11" maxSheetId="15" userName="Vladimir Papazov" r:id="rId203" minRId="1729" maxRId="17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1AB18B9-4ABB-4BCA-A985-39E5FDD7E559}" dateTime="2022-08-17T17:10:42" maxSheetId="15" userName="Vladimir Papazov" r:id="rId2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2DA4C39-3A4F-4497-9E45-641CD91CF3E4}" dateTime="2022-08-18T08:54:44" maxSheetId="15" userName="Vladimir Papazov" r:id="rId205" minRId="1759" maxRId="17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182CFFD-A717-48E5-B9DE-06B6B65FD813}" dateTime="2022-08-18T08:59:42" maxSheetId="15" userName="Vladimir Papazov" r:id="rId206" minRId="1794" maxRId="17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3BEA4E0-03A4-4D61-8581-CF1FBAFC07C9}" dateTime="2022-08-18T09:05:17" maxSheetId="15" userName="Vladimir Papazov" r:id="rId207" minRId="1809" maxRId="18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9672CD5-AFB8-4993-B1AA-298132E203F7}" dateTime="2022-08-18T11:23:10" maxSheetId="15" userName="Antoaneta Ivanova Todorova" r:id="rId208" minRId="1831" maxRId="184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992164A-E82E-46F3-9568-9079FD0A83E3}" dateTime="2022-08-18T11:26:31" maxSheetId="15" userName="Antoaneta Ivanova Todorova" r:id="rId209" minRId="1857" maxRId="18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A42B771-D727-4C5F-8B3D-607B4826EEA6}" dateTime="2022-08-18T11:27:29" maxSheetId="15" userName="Antoaneta Ivanova Todorova" r:id="rId2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EBB806F-9E52-4B6C-A5C3-6B1EDF8781B3}" dateTime="2022-08-18T11:31:53" maxSheetId="15" userName="Antoaneta Ivanova Todorova" r:id="rId211" minRId="1890" maxRId="18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ACE7BD9-FB0D-4CB9-9DC1-8C4B5C5B8E13}" dateTime="2022-08-18T11:36:12" maxSheetId="15" userName="Antoaneta Ivanova Todorova" r:id="rId212" minRId="1906" maxRId="19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C5A403-5A9A-4C00-9032-BA510FB158D2}" dateTime="2022-08-18T11:38:12" maxSheetId="15" userName="Antoaneta Ivanova Todorova" r:id="rId213" minRId="1912" maxRId="19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03FABF-5B7F-4853-8F17-6DF1A366046E}" dateTime="2022-08-18T11:39:23" maxSheetId="15" userName="Antoaneta Ivanova Todorova" r:id="rId214" minRId="1925" maxRId="19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054C09-21B9-4C6A-8F72-7884B9DE983D}" dateTime="2022-08-18T11:40:49" maxSheetId="15" userName="Antoaneta Ivanova Todorova" r:id="rId215" minRId="1937" maxRId="19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D1581B-4230-494B-A691-A2AF43F10D86}" dateTime="2022-08-18T11:47:47" maxSheetId="15" userName="Antoaneta Ivanova Todorova" r:id="rId2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E743659-5048-4C52-9F39-1FB39C8E479E}" dateTime="2022-08-18T11:49:07" maxSheetId="15" userName="Antoaneta Ivanova Todorova" r:id="rId2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961872C-3A41-4672-A8AA-8BF23377D648}" dateTime="2022-08-18T11:57:52" maxSheetId="15" userName="Vladimir Papazov" r:id="rId218" minRId="1969" maxRId="197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7566BE3-0CC8-4C34-91B9-2BA6BB4620B2}" dateTime="2022-08-18T12:00:10" maxSheetId="15" userName="Vladimir Papazov" r:id="rId219" minRId="1983" maxRId="19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E1C00D-652B-4B08-9CB0-2FCB66D4066F}" dateTime="2022-08-18T12:27:42" maxSheetId="15" userName="Vladimir Papazov" r:id="rId220" minRId="1991" maxRId="20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0E83350-0FB9-4196-B579-36B6487C225C}" dateTime="2022-08-18T13:13:58" maxSheetId="15" userName="Vladimir Papazov" r:id="rId221" minRId="2012" maxRId="20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FF8F5F-7024-4C6D-AF0A-EBE5E3C0D1FD}" dateTime="2022-08-18T13:27:01" maxSheetId="15" userName="Antoaneta Ivanova Todorova" r:id="rId222" minRId="2024" maxRId="20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FFEB25-2169-4F51-97D2-41BEBBCE66FF}" dateTime="2022-08-18T13:29:11" maxSheetId="15" userName="Antoaneta Ivanova Todorova" r:id="rId2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8DCA02-A72B-41F0-B8C0-6ABE699090F1}" dateTime="2022-08-18T13:29:30" maxSheetId="15" userName="Antoaneta Ivanova Todorova" r:id="rId224" minRId="2072" maxRId="20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C3494B9-CEF8-4FCA-BD7D-11E32B0D18E2}" dateTime="2022-08-18T13:31:07" maxSheetId="15" userName="Antoaneta Ivanova Todorova" r:id="rId225" minRId="2093" maxRId="20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300FF89-47B0-47C2-A661-C80EC8642589}" dateTime="2022-08-18T13:31:34" maxSheetId="15" userName="Antoaneta Ivanova Todorova" r:id="rId226" minRId="2108" maxRId="21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2CCA80-3317-4C02-BA50-8EF09B8949B0}" dateTime="2022-08-18T13:36:00" maxSheetId="15" userName="Antoaneta Ivanova Todorova" r:id="rId227" minRId="2121" maxRId="21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09595F-8191-4222-954C-727BA52ACB83}" dateTime="2022-08-18T13:36:30" maxSheetId="15" userName="Antoaneta Ivanova Todorova" r:id="rId228" minRId="21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61A17D3-46B6-4212-AA28-34D14A97F832}" dateTime="2022-08-18T13:38:33" maxSheetId="15" userName="Antoaneta Ivanova Todorova" r:id="rId229" minRId="2154" maxRId="21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F9BD41-F697-4649-9134-7D55131478B0}" dateTime="2022-08-18T13:39:20" maxSheetId="15" userName="Antoaneta Ivanova Todorova" r:id="rId2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9955683-1CAA-4AC5-AF3B-BC616BC3C95C}" dateTime="2022-08-18T14:15:36" maxSheetId="15" userName="Vladimir Papazov" r:id="rId231" minRId="2182" maxRId="21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2637671-CCCE-4F66-8338-02EA6052AC81}" dateTime="2022-08-22T14:25:27" maxSheetId="15" userName="Vladimir Papazov" r:id="rId232" minRId="2194" maxRId="21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65CA7BD-E07E-4654-BB54-4F4DB8A18834}" dateTime="2022-08-22T15:04:41" maxSheetId="15" userName="Vladimir Papazov" r:id="rId233" minRId="22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793F1B-1E2E-41C1-8DC0-A05318B7E224}" dateTime="2022-08-23T09:51:27" maxSheetId="15" userName="Vladimir Papazov" r:id="rId234" minRId="22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2BE5B9-C5D2-4AE1-9282-64B7EB8C58FF}" dateTime="2022-08-23T09:54:19" maxSheetId="15" userName="Vladimir Papazov" r:id="rId235" minRId="2218" maxRId="22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904FEA-C985-4084-A2CA-8A1D833F703B}" dateTime="2022-08-23T09:54:45" maxSheetId="15" userName="Vladimir Papazov" r:id="rId236" minRId="2237" maxRId="22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B395C9C-A7D6-40C9-9853-507E169AB398}" dateTime="2022-08-23T09:56:32" maxSheetId="15" userName="Vladimir Papazov" r:id="rId237" minRId="2244" maxRId="22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31766B-564A-4255-AFF5-DF530DBBB18F}" dateTime="2022-08-23T09:57:29" maxSheetId="15" userName="Vladimir Papazov" r:id="rId238" minRId="2250" maxRId="22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03E607A-6C28-4F7C-AEA4-07CFE200F35A}" dateTime="2022-08-23T09:58:04" maxSheetId="15" userName="Vladimir Papazov" r:id="rId239" minRId="2256" maxRId="22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" sId="3" numFmtId="4">
    <oc r="C12">
      <v>83255</v>
    </oc>
    <nc r="C12">
      <v>83122</v>
    </nc>
  </rcc>
  <rcc rId="541" sId="3" numFmtId="4">
    <oc r="C13">
      <v>75563</v>
    </oc>
    <nc r="C13">
      <v>75927</v>
    </nc>
  </rcc>
  <rcc rId="542" sId="3" numFmtId="4">
    <oc r="C14">
      <v>53396</v>
    </oc>
    <nc r="C14">
      <v>53187</v>
    </nc>
  </rcc>
  <rcc rId="543" sId="3">
    <oc r="C16">
      <f>21693+299</f>
    </oc>
    <nc r="C16">
      <f>21686+309</f>
    </nc>
  </rcc>
  <rcc rId="544" sId="3">
    <oc r="C15">
      <f>119861+4172+1664+1308+916</f>
    </oc>
    <nc r="C15">
      <f>119856+4192+1764+1308+946</f>
    </nc>
  </rcc>
  <rcc rId="545" sId="3" numFmtId="4">
    <oc r="C17">
      <v>1166300</v>
    </oc>
    <nc r="C17">
      <v>1166508</v>
    </nc>
  </rcc>
  <rcc rId="546" sId="3" numFmtId="4">
    <oc r="C18">
      <v>8718</v>
    </oc>
    <nc r="C18">
      <v>8721</v>
    </nc>
  </rcc>
  <rcc rId="547" sId="3">
    <oc r="C19">
      <f>16288+8476</f>
    </oc>
    <nc r="C19">
      <f>16095+10476</f>
    </nc>
  </rcc>
  <rcc rId="548" sId="3">
    <oc r="C20">
      <f>8476+2026+1891</f>
    </oc>
    <nc r="C20">
      <f>10476+2037+1891</f>
    </nc>
  </rcc>
  <rcc rId="549" sId="3">
    <oc r="C25">
      <f>7940+1751+714+372</f>
    </oc>
    <nc r="C25">
      <f>7944+1751+714+382</f>
    </nc>
  </rcc>
  <rcc rId="550" sId="3">
    <oc r="C28">
      <f>960+34+2</f>
    </oc>
    <nc r="C28">
      <f>960+45+1</f>
    </nc>
  </rcc>
  <rcc rId="551" sId="3" numFmtId="4">
    <oc r="C34">
      <v>12548</v>
    </oc>
    <nc r="C34">
      <v>12753</v>
    </nc>
  </rcc>
  <rcc rId="552" sId="3" numFmtId="4">
    <oc r="C39">
      <v>6265</v>
    </oc>
    <nc r="C39">
      <v>5871</v>
    </nc>
  </rcc>
  <rcc rId="553" sId="3" numFmtId="4">
    <oc r="C43">
      <v>2257</v>
    </oc>
    <nc r="C43">
      <v>2207</v>
    </nc>
  </rcc>
  <rcc rId="554" sId="3" numFmtId="4">
    <oc r="G13">
      <v>1328395</v>
    </oc>
    <nc r="G13">
      <v>1328372</v>
    </nc>
  </rcc>
  <rcc rId="555" sId="3" numFmtId="4">
    <oc r="G12">
      <v>275089</v>
    </oc>
    <nc r="G12">
      <v>274938</v>
    </nc>
  </rcc>
  <rcc rId="556" sId="3">
    <oc r="G14">
      <f>6474+1262+214</f>
    </oc>
    <nc r="G14">
      <f>6474+1260+214</f>
    </nc>
  </rcc>
  <rcc rId="557" sId="3">
    <oc r="G15">
      <f>741+406+351+213+134+86+73+2196</f>
    </oc>
    <nc r="G15">
      <f>751+538+406+213+134+84+73+2201</f>
    </nc>
  </rcc>
  <rcc rId="558" sId="3" numFmtId="4">
    <oc r="G18">
      <v>945</v>
    </oc>
    <nc r="G18">
      <v>1482</v>
    </nc>
  </rcc>
  <rcc rId="559" sId="3">
    <oc r="G25">
      <f>1503+266</f>
    </oc>
    <nc r="G25">
      <f>1489+266</f>
    </nc>
  </rcc>
  <rcc rId="560" sId="3">
    <oc r="G26">
      <f>46+12+37848</f>
    </oc>
    <nc r="G26">
      <f>46+19+37604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" sId="2" numFmtId="4">
    <oc r="C38">
      <v>125998</v>
    </oc>
    <nc r="C38">
      <v>125337</v>
    </nc>
  </rcc>
  <rcc rId="645" sId="6">
    <oc r="E32">
      <f>12749+2880+25989+17920+3709</f>
    </oc>
    <nc r="E32">
      <f>12088+2880+25989+17920+3709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5" sId="7" numFmtId="4">
    <oc r="F59">
      <v>57109</v>
    </oc>
    <nc r="F59">
      <v>51850</v>
    </nc>
  </rcc>
  <rcc rId="1336" sId="7">
    <oc r="F78">
      <f>410968-57109</f>
    </oc>
    <nc r="F78">
      <f>366632-51850</f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7" sId="6" numFmtId="4">
    <nc r="E31">
      <v>77</v>
    </nc>
  </rcc>
  <rcc rId="1358" sId="6">
    <nc r="E32">
      <f>3954+692</f>
    </nc>
  </rcc>
  <rcc rId="1359" sId="6" numFmtId="4">
    <nc r="F32">
      <v>1228</v>
    </nc>
  </rcc>
  <rcc rId="1360" sId="6" numFmtId="4">
    <nc r="H33">
      <v>81</v>
    </nc>
  </rcc>
  <rcc rId="1361" sId="6" numFmtId="4">
    <nc r="F33">
      <v>427</v>
    </nc>
  </rcc>
  <rcc rId="1362" sId="6">
    <nc r="E33">
      <f>341+(156-81)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3" sId="2" numFmtId="4">
    <nc r="C12">
      <v>60874</v>
    </nc>
  </rcc>
  <rcc rId="1374" sId="2" numFmtId="4">
    <oc r="C13">
      <v>359557</v>
    </oc>
    <nc r="C13">
      <v>164606</v>
    </nc>
  </rcc>
  <rcc rId="1375" sId="2" numFmtId="4">
    <nc r="C14">
      <v>94577</v>
    </nc>
  </rcc>
  <rcc rId="1376" sId="2" numFmtId="4">
    <nc r="C15">
      <v>11868</v>
    </nc>
  </rcc>
  <rcc rId="1377" sId="2" numFmtId="4">
    <nc r="C16">
      <v>10678</v>
    </nc>
  </rcc>
  <rcc rId="1378" sId="2" numFmtId="4">
    <nc r="C17">
      <v>9869</v>
    </nc>
  </rcc>
  <rcc rId="1379" sId="2" numFmtId="4">
    <nc r="C18">
      <v>6390</v>
    </nc>
  </rcc>
  <rcc rId="1380" sId="2" numFmtId="4">
    <nc r="C19">
      <v>244</v>
    </nc>
  </rcc>
  <rcc rId="1381" sId="2" numFmtId="4">
    <oc r="C24">
      <v>52436</v>
    </oc>
    <nc r="C24">
      <v>32349</v>
    </nc>
  </rcc>
  <rcc rId="1382" sId="2" numFmtId="4">
    <nc r="C25">
      <v>16814</v>
    </nc>
  </rcc>
  <rcc rId="1383" sId="2" numFmtId="4">
    <nc r="C27">
      <v>3273</v>
    </nc>
  </rcc>
  <rcc rId="1384" sId="2" numFmtId="4">
    <nc r="C22">
      <v>451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5" sId="3">
    <oc r="G14">
      <f>1429+174</f>
    </oc>
    <nc r="G14">
      <f>1429+174+20</f>
    </nc>
  </rcc>
  <rcc rId="1396" sId="3">
    <oc r="G15">
      <f>+-117+101+28+22+20+12+242</f>
    </oc>
    <nc r="G15">
      <f>+-117+101+28+22+12+242</f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" sId="4" numFmtId="4">
    <oc r="C11">
      <v>1656161</v>
    </oc>
    <nc r="C11">
      <v>441710</v>
    </nc>
  </rcc>
  <rcc rId="1398" sId="4" numFmtId="4">
    <oc r="C12">
      <v>-1504805</v>
    </oc>
    <nc r="C12">
      <v>-374971</v>
    </nc>
  </rcc>
  <rcc rId="1399" sId="4" numFmtId="4">
    <oc r="D11">
      <v>1376047</v>
    </oc>
    <nc r="D11">
      <v>388441</v>
    </nc>
  </rcc>
  <rcc rId="1400" sId="4" numFmtId="4">
    <oc r="D12">
      <v>-1341304</v>
    </oc>
    <nc r="D12">
      <v>-353887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1" sId="4" numFmtId="4">
    <oc r="C14">
      <v>-146239</v>
    </oc>
    <nc r="C14">
      <v>-33383</v>
    </nc>
  </rcc>
  <rcc rId="1412" sId="4" numFmtId="4">
    <oc r="D14">
      <v>-129085</v>
    </oc>
    <nc r="D14">
      <v>-35276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3" sId="4" numFmtId="4">
    <oc r="C15">
      <v>-65020</v>
    </oc>
    <nc r="C15">
      <v>-14988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4" sId="4" numFmtId="4">
    <oc r="D15">
      <v>-63478</v>
    </oc>
    <nc r="D15">
      <v>-14858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" sId="9">
    <oc r="F13">
      <f>133736+815</f>
    </oc>
    <nc r="F13">
      <f>133075+815</f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5" sId="4" numFmtId="4">
    <oc r="C16">
      <v>-7894</v>
    </oc>
    <nc r="C16">
      <v>-63</v>
    </nc>
  </rcc>
  <rcc rId="1416" sId="4" numFmtId="4">
    <oc r="D16">
      <v>-7869</v>
    </oc>
    <nc r="D16">
      <v>-44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7" sId="4" numFmtId="4">
    <oc r="C18">
      <v>-6600</v>
    </oc>
    <nc r="C18">
      <v>-1484</v>
    </nc>
  </rcc>
  <rcc rId="1418" sId="4" numFmtId="4">
    <oc r="D18">
      <v>-9195</v>
    </oc>
    <nc r="D18">
      <v>-2256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9" sId="4" numFmtId="4">
    <oc r="C19">
      <v>-548</v>
    </oc>
    <nc r="C19">
      <v>-556</v>
    </nc>
  </rcc>
  <rcc rId="1420" sId="4" numFmtId="4">
    <oc r="D19">
      <v>-2271</v>
    </oc>
    <nc r="D19">
      <v>-180</v>
    </nc>
  </rcc>
  <rcc rId="1421" sId="4" numFmtId="4">
    <oc r="C20">
      <v>-1018</v>
    </oc>
    <nc r="C20">
      <v>-216</v>
    </nc>
  </rcc>
  <rcc rId="1422" sId="4" numFmtId="4">
    <oc r="D20">
      <v>-2256</v>
    </oc>
    <nc r="D20">
      <v>-53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3" sId="4" numFmtId="4">
    <oc r="C23">
      <v>-27110</v>
    </oc>
    <nc r="C23">
      <v>-4918</v>
    </nc>
  </rcc>
  <rcc rId="1424" sId="4" numFmtId="4">
    <oc r="C24">
      <v>3007</v>
    </oc>
    <nc r="C24">
      <v>873</v>
    </nc>
  </rcc>
  <rcc rId="1425" sId="4" numFmtId="4">
    <oc r="C25">
      <v>-9377</v>
    </oc>
    <nc r="C25">
      <v>-1500</v>
    </nc>
  </rcc>
  <rcc rId="1426" sId="4" numFmtId="4">
    <oc r="C26">
      <v>14924</v>
    </oc>
    <nc r="C26"/>
  </rcc>
  <rcc rId="1427" sId="4" numFmtId="4">
    <oc r="C27">
      <v>2806</v>
    </oc>
    <nc r="C27">
      <v>25</v>
    </nc>
  </rcc>
  <rcc rId="1428" sId="4" numFmtId="4">
    <oc r="C28">
      <v>-53897</v>
    </oc>
    <nc r="C28">
      <v>-1033</v>
    </nc>
  </rcc>
  <rcc rId="1429" sId="4" numFmtId="4">
    <oc r="C29">
      <v>1101</v>
    </oc>
    <nc r="C29">
      <v>626</v>
    </nc>
  </rcc>
  <rcc rId="1430" sId="4" numFmtId="4">
    <oc r="C30">
      <v>451</v>
    </oc>
    <nc r="C30">
      <v>0</v>
    </nc>
  </rcc>
  <rcc rId="1431" sId="4" numFmtId="4">
    <oc r="C32">
      <v>30</v>
    </oc>
    <nc r="C32"/>
  </rcc>
  <rcc rId="1432" sId="4" numFmtId="4">
    <oc r="D23">
      <v>-27013</v>
    </oc>
    <nc r="D23">
      <v>-6645</v>
    </nc>
  </rcc>
  <rcc rId="1433" sId="4" numFmtId="4">
    <oc r="D24">
      <v>1770</v>
    </oc>
    <nc r="D24">
      <v>437</v>
    </nc>
  </rcc>
  <rcc rId="1434" sId="4" numFmtId="4">
    <oc r="D25">
      <v>-5677</v>
    </oc>
    <nc r="D25"/>
  </rcc>
  <rcc rId="1435" sId="4" numFmtId="4">
    <oc r="D26">
      <v>39242</v>
    </oc>
    <nc r="D26"/>
  </rcc>
  <rcc rId="1436" sId="4" numFmtId="4">
    <oc r="D27">
      <v>1820</v>
    </oc>
    <nc r="D27"/>
  </rcc>
  <rcc rId="1437" sId="4" numFmtId="4">
    <oc r="D28">
      <v>-9100</v>
    </oc>
    <nc r="D28"/>
  </rcc>
  <rcc rId="1438" sId="4" numFmtId="4">
    <oc r="D29">
      <v>128</v>
    </oc>
    <nc r="D29"/>
  </rcc>
  <rcc rId="1439" sId="4" numFmtId="4">
    <oc r="D30">
      <v>325</v>
    </oc>
    <nc r="D30"/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0" sId="4" numFmtId="4">
    <nc r="D25">
      <v>-620</v>
    </nc>
  </rcc>
  <rcc rId="1441" sId="4" numFmtId="4">
    <nc r="D26">
      <v>14</v>
    </nc>
  </rcc>
  <rcc rId="1442" sId="4" numFmtId="4">
    <nc r="D27">
      <v>80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3" sId="4" numFmtId="4">
    <nc r="D28">
      <v>-1354</v>
    </nc>
  </rcc>
  <rcc rId="1444" sId="4" numFmtId="4">
    <nc r="D29">
      <v>870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5" sId="4" numFmtId="4">
    <oc r="C36">
      <v>-16628</v>
    </oc>
    <nc r="C36"/>
  </rcc>
  <rcc rId="1446" sId="4" numFmtId="4">
    <oc r="D36">
      <v>342</v>
    </oc>
    <nc r="D36"/>
  </rcc>
  <rcc rId="1447" sId="4" numFmtId="4">
    <oc r="C37">
      <v>36388</v>
    </oc>
    <nc r="C37"/>
  </rcc>
  <rcc rId="1448" sId="4" numFmtId="4">
    <oc r="D37">
      <v>28256</v>
    </oc>
    <nc r="D37"/>
  </rcc>
  <rcc rId="1449" sId="4" numFmtId="4">
    <oc r="C38">
      <v>-46550</v>
    </oc>
    <nc r="C38"/>
  </rcc>
  <rcc rId="1450" sId="4" numFmtId="4">
    <oc r="D38">
      <v>-56289</v>
    </oc>
    <nc r="D38"/>
  </rcc>
  <rcc rId="1451" sId="4" numFmtId="4">
    <oc r="C39">
      <v>-20477</v>
    </oc>
    <nc r="C39"/>
  </rcc>
  <rcc rId="1452" sId="4" numFmtId="4">
    <oc r="D39">
      <v>-16790</v>
    </oc>
    <nc r="D39"/>
  </rcc>
  <rcc rId="1453" sId="4" numFmtId="4">
    <oc r="C40">
      <v>-1994</v>
    </oc>
    <nc r="C40"/>
  </rcc>
  <rcc rId="1454" sId="4" numFmtId="4">
    <oc r="D40">
      <v>-1732</v>
    </oc>
    <nc r="D40"/>
  </rcc>
  <rcc rId="1455" sId="4" numFmtId="4">
    <oc r="C41">
      <v>-63</v>
    </oc>
    <nc r="C41"/>
  </rcc>
  <rcc rId="1456" sId="4" numFmtId="4">
    <oc r="D41">
      <v>-22643</v>
    </oc>
    <nc r="D41"/>
  </rcc>
  <rcc rId="1457" sId="4" numFmtId="4">
    <oc r="C42">
      <v>205930</v>
    </oc>
    <nc r="C42"/>
  </rcc>
  <rcc rId="1458" sId="4" numFmtId="4">
    <oc r="D42">
      <v>244511</v>
    </oc>
    <nc r="D42"/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9" sId="4" numFmtId="4">
    <oc r="D35">
      <v>38</v>
    </oc>
    <nc r="D35"/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0" sId="4" numFmtId="4">
    <nc r="C37">
      <v>11356</v>
    </nc>
  </rcc>
  <rcc rId="1461" sId="4" numFmtId="4">
    <nc r="D37">
      <v>1947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2" sId="4" numFmtId="4">
    <nc r="C38">
      <v>-40724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7" sId="6">
    <oc r="H11">
      <f>5193-156</f>
    </oc>
    <nc r="H11">
      <f>5193</f>
    </nc>
  </rcc>
  <rcc rId="658" sId="6" numFmtId="4">
    <oc r="I11">
      <f>2238-156</f>
    </oc>
    <nc r="I11">
      <v>2238</v>
    </nc>
  </rcc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3" sId="4" numFmtId="4">
    <nc r="D38">
      <v>-21540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4" sId="4" numFmtId="4">
    <nc r="C39">
      <v>-4504</v>
    </nc>
  </rcc>
  <rcc rId="1465" sId="4" numFmtId="4">
    <nc r="D39">
      <v>-5723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6" sId="4" numFmtId="4">
    <nc r="C40">
      <v>-93</v>
    </nc>
  </rcc>
  <rcc rId="1467" sId="4" numFmtId="4">
    <nc r="D40">
      <v>-366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8" sId="4" numFmtId="4">
    <nc r="C41">
      <v>-4</v>
    </nc>
  </rcc>
  <rcc rId="1469" sId="4" numFmtId="4">
    <nc r="D41">
      <v>-4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0" sId="4" numFmtId="4">
    <nc r="C42">
      <v>6590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1" sId="4" numFmtId="4">
    <nc r="D42">
      <v>48089</v>
    </nc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2" sId="4" numFmtId="4">
    <oc r="D37">
      <v>1947</v>
    </oc>
    <nc r="D37">
      <v>1988</v>
    </nc>
  </rcc>
  <rcc rId="1473" sId="4" numFmtId="4">
    <oc r="D38">
      <v>-21540</v>
    </oc>
    <nc r="D38">
      <v>-21589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4" sId="4" numFmtId="4">
    <oc r="D45">
      <v>27362</v>
    </oc>
    <nc r="D45">
      <v>25139</v>
    </nc>
  </rcc>
  <rcc rId="1485" sId="4" numFmtId="4">
    <oc r="D48">
      <v>154</v>
    </oc>
    <nc r="D48"/>
  </rcc>
  <rcc rId="1486" sId="4" numFmtId="4">
    <oc r="D47">
      <v>25139</v>
    </oc>
    <nc r="D47">
      <v>22203</v>
    </nc>
  </rcc>
  <rcc rId="1487" sId="4" numFmtId="4">
    <oc r="C45">
      <v>25139</v>
    </oc>
    <nc r="C45">
      <v>37717</v>
    </nc>
  </rcc>
  <rcc rId="1488" sId="4" numFmtId="4">
    <oc r="C47">
      <v>37717</v>
    </oc>
    <nc r="C47">
      <v>20460</v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9" sId="4" numFmtId="4">
    <nc r="D48">
      <v>154</v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" sId="6" numFmtId="4">
    <oc r="E13">
      <v>15958</v>
    </oc>
    <nc r="E13">
      <v>15649</v>
    </nc>
  </rcc>
  <rcc rId="660" sId="6" numFmtId="4">
    <oc r="F13">
      <v>15064</v>
    </oc>
    <nc r="F13">
      <v>15077</v>
    </nc>
  </rcc>
  <rcc rId="661" sId="6" numFmtId="4">
    <oc r="E14">
      <v>523</v>
    </oc>
    <nc r="E14">
      <v>830</v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0" sId="1" numFmtId="19">
    <oc r="B10">
      <v>44651</v>
    </oc>
    <nc r="B10">
      <v>44742</v>
    </nc>
  </rcc>
  <rcc rId="1501" sId="1" numFmtId="19">
    <oc r="B11">
      <v>44708</v>
    </oc>
    <nc r="B11">
      <v>44800</v>
    </nc>
  </rcc>
  <rcc rId="1502" sId="2" numFmtId="4">
    <oc r="C12">
      <v>60874</v>
    </oc>
    <nc r="C12"/>
  </rcc>
  <rcc rId="1503" sId="2" numFmtId="4">
    <oc r="C13">
      <v>164606</v>
    </oc>
    <nc r="C13"/>
  </rcc>
  <rcc rId="1504" sId="2" numFmtId="4">
    <oc r="C14">
      <v>94577</v>
    </oc>
    <nc r="C14"/>
  </rcc>
  <rcc rId="1505" sId="2" numFmtId="4">
    <oc r="C15">
      <v>11868</v>
    </oc>
    <nc r="C15"/>
  </rcc>
  <rcc rId="1506" sId="2" numFmtId="4">
    <oc r="C16">
      <v>10678</v>
    </oc>
    <nc r="C16"/>
  </rcc>
  <rcc rId="1507" sId="2" numFmtId="4">
    <oc r="C17">
      <v>9869</v>
    </oc>
    <nc r="C17"/>
  </rcc>
  <rcc rId="1508" sId="2" numFmtId="4">
    <oc r="C18">
      <v>6390</v>
    </oc>
    <nc r="C18"/>
  </rcc>
  <rcc rId="1509" sId="2" numFmtId="4">
    <oc r="C19">
      <v>244</v>
    </oc>
    <nc r="C19"/>
  </rcc>
  <rcc rId="1510" sId="2" numFmtId="4">
    <oc r="C21">
      <v>9446</v>
    </oc>
    <nc r="C21"/>
  </rcc>
  <rcc rId="1511" sId="2" numFmtId="4">
    <oc r="C22">
      <v>451</v>
    </oc>
    <nc r="C22"/>
  </rcc>
  <rcc rId="1512" sId="2" numFmtId="4">
    <oc r="C24">
      <v>32349</v>
    </oc>
    <nc r="C24"/>
  </rcc>
  <rcc rId="1513" sId="2" numFmtId="4">
    <oc r="C25">
      <v>16814</v>
    </oc>
    <nc r="C25"/>
  </rcc>
  <rcc rId="1514" sId="2" numFmtId="4">
    <oc r="C27">
      <v>3273</v>
    </oc>
    <nc r="C27"/>
  </rcc>
  <rcc rId="1515" sId="2" numFmtId="4">
    <oc r="C37">
      <v>2060</v>
    </oc>
    <nc r="C37"/>
  </rcc>
  <rcc rId="1516" sId="2" numFmtId="4">
    <oc r="C38">
      <v>128755</v>
    </oc>
    <nc r="C38"/>
  </rcc>
  <rcc rId="1517" sId="2" numFmtId="4">
    <oc r="C39">
      <v>5848</v>
    </oc>
    <nc r="C39"/>
  </rcc>
  <rcc rId="1518" sId="2" numFmtId="4">
    <oc r="C48">
      <v>51563</v>
    </oc>
    <nc r="C48"/>
  </rcc>
  <rcc rId="1519" sId="2" numFmtId="4">
    <oc r="C49">
      <v>6352</v>
    </oc>
    <nc r="C49"/>
  </rcc>
  <rcc rId="1520" sId="2">
    <oc r="C51">
      <f>3308+589+47</f>
    </oc>
    <nc r="C51"/>
  </rcc>
  <rcc rId="1521" sId="2" numFmtId="4">
    <oc r="C55">
      <v>983</v>
    </oc>
    <nc r="C55"/>
  </rcc>
  <rcc rId="1522" sId="2" numFmtId="4">
    <oc r="C59">
      <v>36286</v>
    </oc>
    <nc r="C59"/>
  </rcc>
  <rcc rId="1523" sId="2">
    <oc r="C60">
      <f>28973+4032</f>
    </oc>
    <nc r="C60"/>
  </rcc>
  <rcc rId="1524" sId="2" numFmtId="4">
    <oc r="C61">
      <v>181778</v>
    </oc>
    <nc r="C61"/>
  </rcc>
  <rcc rId="1525" sId="2" numFmtId="4">
    <oc r="C62">
      <v>5198</v>
    </oc>
    <nc r="C62"/>
  </rcc>
  <rcc rId="1526" sId="2" numFmtId="4">
    <oc r="C68">
      <v>14820</v>
    </oc>
    <nc r="C68"/>
  </rcc>
  <rcc rId="1527" sId="2">
    <oc r="C69">
      <f>211903+4890</f>
    </oc>
    <nc r="C69"/>
  </rcc>
  <rcc rId="1528" sId="2" numFmtId="4">
    <oc r="C70">
      <v>25568</v>
    </oc>
    <nc r="C70"/>
  </rcc>
  <rcc rId="1529" sId="2" numFmtId="4">
    <oc r="C71">
      <v>1810</v>
    </oc>
    <nc r="C71"/>
  </rcc>
  <rcc rId="1530" sId="2" numFmtId="4">
    <oc r="C72">
      <v>13853</v>
    </oc>
    <nc r="C72"/>
  </rcc>
  <rcc rId="1531" sId="2" numFmtId="4">
    <oc r="C73">
      <v>11595</v>
    </oc>
    <nc r="C73"/>
  </rcc>
  <rcc rId="1532" sId="2">
    <oc r="C75">
      <f>294+217+174+791</f>
    </oc>
    <nc r="C75"/>
  </rcc>
  <rcc rId="1533" sId="2" numFmtId="4">
    <oc r="C93">
      <v>1820</v>
    </oc>
    <nc r="C93"/>
  </rcc>
  <rcc rId="1534" sId="2" numFmtId="4">
    <oc r="C88">
      <v>2908</v>
    </oc>
    <nc r="C88"/>
  </rcc>
  <rcc rId="1535" sId="2">
    <oc r="C89">
      <f>16888+590+74</f>
    </oc>
    <nc r="C89"/>
  </rcc>
  <rcc rId="1536" sId="2" numFmtId="4">
    <oc r="C90">
      <v>5</v>
    </oc>
    <nc r="C90"/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7" sId="2" numFmtId="4">
    <nc r="C12">
      <v>358261</v>
    </nc>
  </rcc>
  <rcc rId="1548" sId="2" numFmtId="4">
    <nc r="C21">
      <v>9446</v>
    </nc>
  </rcc>
  <rcc rId="1549" sId="2" numFmtId="4">
    <nc r="C24">
      <v>50946</v>
    </nc>
  </rcc>
  <rcc rId="1550" sId="2" numFmtId="4">
    <oc r="C31">
      <v>13337</v>
    </oc>
    <nc r="C31">
      <v>13439</v>
    </nc>
  </rcc>
  <rcc rId="1551" sId="2" numFmtId="4">
    <nc r="C38">
      <v>134958</v>
    </nc>
  </rcc>
  <rcc rId="1552" sId="2" numFmtId="4">
    <nc r="C37">
      <v>2031</v>
    </nc>
  </rcc>
  <rcc rId="1553" sId="2" numFmtId="4">
    <nc r="C39">
      <v>5207</v>
    </nc>
  </rcc>
  <rcc rId="1554" sId="2" numFmtId="4">
    <nc r="C48">
      <v>50444</v>
    </nc>
  </rcc>
  <rcc rId="1555" sId="2" numFmtId="4">
    <nc r="C49">
      <v>6397</v>
    </nc>
  </rcc>
  <rcc rId="1556" sId="2">
    <nc r="C51">
      <f>10582-6397</f>
    </nc>
  </rcc>
  <rcc rId="1557" sId="2" numFmtId="4">
    <nc r="C55">
      <v>1291</v>
    </nc>
  </rcc>
  <rcc rId="1558" sId="2" numFmtId="4">
    <nc r="C59">
      <v>35482</v>
    </nc>
  </rcc>
  <rcc rId="1559" sId="2">
    <nc r="C60">
      <f>29806+2434</f>
    </nc>
  </rcc>
  <rcc rId="1560" sId="2" numFmtId="4">
    <nc r="C62">
      <v>4148</v>
    </nc>
  </rcc>
  <rcc rId="1561" sId="2" numFmtId="4">
    <nc r="C61">
      <v>197659</v>
    </nc>
  </rcc>
  <rcc rId="1562" sId="2" numFmtId="4">
    <nc r="C68">
      <v>15998</v>
    </nc>
  </rcc>
  <rcc rId="1563" sId="2">
    <nc r="C69">
      <f>222600+4890</f>
    </nc>
  </rcc>
  <rcc rId="1564" sId="2" numFmtId="4">
    <nc r="C70">
      <v>16619</v>
    </nc>
  </rcc>
  <rcc rId="1565" sId="2" numFmtId="4">
    <nc r="C71">
      <v>1816</v>
    </nc>
  </rcc>
  <rcc rId="1566" sId="2" numFmtId="4">
    <nc r="C72">
      <v>13712</v>
    </nc>
  </rcc>
  <rcc rId="1567" sId="2" numFmtId="4">
    <nc r="C73">
      <v>12147</v>
    </nc>
  </rcc>
  <rcc rId="1568" sId="2">
    <nc r="C75">
      <f>231+26+23+549</f>
    </nc>
  </rcc>
  <rcc rId="1569" sId="2" numFmtId="4">
    <nc r="C93">
      <v>2128</v>
    </nc>
  </rcc>
  <rcc rId="1570" sId="2" numFmtId="4">
    <nc r="C88">
      <v>2792</v>
    </nc>
  </rcc>
  <rcc rId="1571" sId="2" numFmtId="4">
    <nc r="C90">
      <v>4</v>
    </nc>
  </rcc>
  <rcc rId="1572" sId="2">
    <nc r="C89">
      <f>14439+1707+74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3" sId="2" numFmtId="4">
    <oc r="G15">
      <v>-50284</v>
    </oc>
    <nc r="G15">
      <v>-52202</v>
    </nc>
  </rcc>
  <rcc rId="1584" sId="2">
    <oc r="G21">
      <f>36638+1766-1575</f>
    </oc>
    <nc r="G21">
      <f>36631+1262+704</f>
    </nc>
  </rcc>
  <rcc rId="1585" sId="2" numFmtId="4">
    <oc r="G23">
      <v>66201</v>
    </oc>
    <nc r="G23">
      <v>68628</v>
    </nc>
  </rcc>
  <rcc rId="1586" sId="2" numFmtId="4">
    <oc r="G25">
      <v>12510</v>
    </oc>
    <nc r="G25">
      <v>12512</v>
    </nc>
  </rcc>
  <rcc rId="1587" sId="2" numFmtId="4">
    <oc r="G32">
      <v>20681</v>
    </oc>
    <nc r="G32">
      <v>43365</v>
    </nc>
  </rcc>
  <rcc rId="1588" sId="2">
    <oc r="G29">
      <f>465602-20681</f>
    </oc>
    <nc r="G29">
      <f>484614-43365</f>
    </nc>
  </rcc>
  <rcc rId="1589" sId="2" numFmtId="4">
    <oc r="G44">
      <v>11320</v>
    </oc>
    <nc r="G44">
      <v>10962</v>
    </nc>
  </rcc>
  <rcc rId="1590" sId="2" numFmtId="4">
    <oc r="G45">
      <v>47599</v>
    </oc>
    <nc r="G45">
      <v>41998</v>
    </nc>
  </rcc>
  <rcc rId="1591" sId="2" numFmtId="4">
    <oc r="G55">
      <v>6670</v>
    </oc>
    <nc r="G55">
      <v>6615</v>
    </nc>
  </rcc>
  <rcc rId="1592" sId="2" numFmtId="4">
    <oc r="G54">
      <v>7915</v>
    </oc>
    <nc r="G54">
      <v>7754</v>
    </nc>
  </rcc>
  <rcc rId="1593" sId="2">
    <oc r="G49">
      <f>37961+8061</f>
    </oc>
    <nc r="G49">
      <f>37995+8051</f>
    </nc>
  </rcc>
  <rcc rId="1594" sId="2" numFmtId="4">
    <oc r="G59">
      <v>182691</v>
    </oc>
    <nc r="G59">
      <v>175968</v>
    </nc>
  </rcc>
  <rcc rId="1595" sId="2" numFmtId="4">
    <oc r="G60">
      <v>9547</v>
    </oc>
    <nc r="G60">
      <v>9402</v>
    </nc>
  </rcc>
  <rcc rId="1596" sId="2" numFmtId="4">
    <oc r="G62">
      <v>5111</v>
    </oc>
    <nc r="G62">
      <v>3816</v>
    </nc>
  </rcc>
  <rcc rId="1597" sId="2" numFmtId="4">
    <oc r="G64">
      <v>146205</v>
    </oc>
    <nc r="G64">
      <v>155474</v>
    </nc>
  </rcc>
  <rcc rId="1598" sId="2" numFmtId="4">
    <oc r="G65">
      <v>392</v>
    </oc>
    <nc r="G65">
      <v>542</v>
    </nc>
  </rcc>
  <rcc rId="1599" sId="2" numFmtId="4">
    <oc r="G66">
      <v>14846</v>
    </oc>
    <nc r="G66">
      <v>15966</v>
    </nc>
  </rcc>
  <rcc rId="1600" sId="2" numFmtId="4">
    <oc r="G67">
      <v>3191</v>
    </oc>
    <nc r="G67">
      <v>3611</v>
    </nc>
  </rcc>
  <rcc rId="1601" sId="2" numFmtId="4">
    <oc r="G68">
      <v>8962</v>
    </oc>
    <nc r="G68">
      <v>5528</v>
    </nc>
  </rcc>
  <rcc rId="1602" sId="2" numFmtId="4">
    <oc r="G77">
      <v>739</v>
    </oc>
    <nc r="G77">
      <v>661</v>
    </nc>
  </rcc>
  <rcc rId="1603" sId="2" numFmtId="4">
    <oc r="G69">
      <f>7886+1681+11666-739</f>
    </oc>
    <nc r="G69">
      <f>7449+5878+11415-661</f>
    </nc>
  </rcc>
  <rcc rId="1604" sId="2" numFmtId="4">
    <oc r="G40">
      <v>13762</v>
    </oc>
    <nc r="G40">
      <v>12892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5" sId="3" numFmtId="4">
    <oc r="C12">
      <v>23596</v>
    </oc>
    <nc r="C12"/>
  </rcc>
  <rcc rId="1616" sId="3" numFmtId="4">
    <oc r="D12">
      <v>19355</v>
    </oc>
    <nc r="D12"/>
  </rcc>
  <rcc rId="1617" sId="3" numFmtId="4">
    <oc r="C13">
      <v>14766</v>
    </oc>
    <nc r="C13"/>
  </rcc>
  <rcc rId="1618" sId="3" numFmtId="4">
    <oc r="D13">
      <v>16198</v>
    </oc>
    <nc r="D13"/>
  </rcc>
  <rcc rId="1619" sId="3" numFmtId="4">
    <oc r="C14">
      <v>12811</v>
    </oc>
    <nc r="C14"/>
  </rcc>
  <rcc rId="1620" sId="3" numFmtId="4">
    <oc r="D14">
      <v>13480</v>
    </oc>
    <nc r="D14"/>
  </rcc>
  <rcc rId="1621" sId="3">
    <oc r="C15">
      <f>27320+1166+840+564</f>
    </oc>
    <nc r="C15"/>
  </rcc>
  <rcc rId="1622" sId="3" numFmtId="4">
    <oc r="D15">
      <v>31089</v>
    </oc>
    <nc r="D15"/>
  </rcc>
  <rcc rId="1623" sId="3">
    <oc r="C16">
      <f>4720+164</f>
    </oc>
    <nc r="C16"/>
  </rcc>
  <rcc rId="1624" sId="3" numFmtId="4">
    <oc r="D16">
      <v>5566</v>
    </oc>
    <nc r="D16"/>
  </rcc>
  <rcc rId="1625" sId="3" numFmtId="4">
    <oc r="C17">
      <v>295144</v>
    </oc>
    <nc r="C17"/>
  </rcc>
  <rcc rId="1626" sId="3" numFmtId="4">
    <oc r="D17">
      <v>279855</v>
    </oc>
    <nc r="D17"/>
  </rcc>
  <rcc rId="1627" sId="3" numFmtId="4">
    <oc r="C18">
      <v>-4591</v>
    </oc>
    <nc r="C18"/>
  </rcc>
  <rcc rId="1628" sId="3" numFmtId="4">
    <oc r="D18">
      <v>-4094</v>
    </oc>
    <nc r="D18"/>
  </rcc>
  <rcc rId="1629" sId="3" numFmtId="4">
    <oc r="C19">
      <v>1372</v>
    </oc>
    <nc r="C19"/>
  </rcc>
  <rcc rId="1630" sId="3" numFmtId="4">
    <oc r="D19">
      <v>1427</v>
    </oc>
    <nc r="D19"/>
  </rcc>
  <rcc rId="1631" sId="3" numFmtId="4">
    <oc r="C20">
      <v>413</v>
    </oc>
    <nc r="C20"/>
  </rcc>
  <rcc rId="1632" sId="3" numFmtId="4">
    <oc r="D20">
      <v>31</v>
    </oc>
    <nc r="D20"/>
  </rcc>
  <rcc rId="1633" sId="3">
    <oc r="C25">
      <f>1041+284+87+23</f>
    </oc>
    <nc r="C25"/>
  </rcc>
  <rcc rId="1634" sId="3" numFmtId="4">
    <oc r="D25">
      <v>3061</v>
    </oc>
    <nc r="D25"/>
  </rcc>
  <rcc rId="1635" sId="3" numFmtId="4">
    <oc r="C27">
      <v>199</v>
    </oc>
    <nc r="C27"/>
  </rcc>
  <rcc rId="1636" sId="3" numFmtId="4">
    <oc r="C28">
      <v>263</v>
    </oc>
    <nc r="C28"/>
  </rcc>
  <rcc rId="1637" sId="3" numFmtId="4">
    <oc r="D28">
      <v>227</v>
    </oc>
    <nc r="D28"/>
  </rcc>
  <rcc rId="1638" sId="3" numFmtId="4">
    <oc r="C34">
      <v>4026</v>
    </oc>
    <nc r="C34"/>
  </rcc>
  <rcc rId="1639" sId="3" numFmtId="4">
    <oc r="D34">
      <v>1446</v>
    </oc>
    <nc r="D34"/>
  </rcc>
  <rcc rId="1640" sId="3" numFmtId="4">
    <oc r="C39">
      <v>2468</v>
    </oc>
    <nc r="C39"/>
  </rcc>
  <rcc rId="1641" sId="3" numFmtId="4">
    <oc r="D39">
      <v>2207</v>
    </oc>
    <nc r="D39"/>
  </rcc>
  <rcc rId="1642" sId="3" numFmtId="4">
    <oc r="C43">
      <v>1879</v>
    </oc>
    <nc r="C43"/>
  </rcc>
  <rcc rId="1643" sId="3" numFmtId="4">
    <oc r="D43">
      <v>1312</v>
    </oc>
    <nc r="D43"/>
  </rcc>
  <rcc rId="1644" sId="3" numFmtId="4">
    <oc r="G18">
      <v>218</v>
    </oc>
    <nc r="G18"/>
  </rcc>
  <rcc rId="1645" sId="3" numFmtId="4">
    <oc r="H18">
      <v>235</v>
    </oc>
    <nc r="H18"/>
  </rcc>
  <rcc rId="1646" sId="3" numFmtId="4">
    <oc r="H22">
      <v>1447</v>
    </oc>
    <nc r="H22"/>
  </rcc>
  <rcc rId="1647" sId="3" numFmtId="4">
    <oc r="H24">
      <v>45</v>
    </oc>
    <nc r="H24"/>
  </rcc>
  <rcc rId="1648" sId="3" numFmtId="4">
    <oc r="H25">
      <v>1591</v>
    </oc>
    <nc r="H25"/>
  </rcc>
  <rcc rId="1649" sId="3" numFmtId="4">
    <oc r="H26">
      <v>490</v>
    </oc>
    <nc r="H26"/>
  </rcc>
  <rcc rId="1650" sId="3">
    <oc r="G22">
      <f>531+377+48+42</f>
    </oc>
    <nc r="G22"/>
  </rcc>
  <rcc rId="1651" sId="3" numFmtId="4">
    <oc r="G25">
      <v>70</v>
    </oc>
    <nc r="G25"/>
  </rcc>
  <rcc rId="1652" sId="3" numFmtId="4">
    <oc r="G26">
      <v>4</v>
    </oc>
    <nc r="G26"/>
  </rcc>
  <rcc rId="1653" sId="3" numFmtId="4">
    <oc r="G12">
      <v>59210</v>
    </oc>
    <nc r="G12"/>
  </rcc>
  <rcc rId="1654" sId="3" numFmtId="4">
    <oc r="H12">
      <v>57395</v>
    </oc>
    <nc r="H12"/>
  </rcc>
  <rcc rId="1655" sId="3" numFmtId="4">
    <oc r="G13">
      <v>338360</v>
    </oc>
    <nc r="G13"/>
  </rcc>
  <rcc rId="1656" sId="3" numFmtId="4">
    <oc r="H13">
      <v>321462</v>
    </oc>
    <nc r="H13"/>
  </rcc>
  <rcc rId="1657" sId="3">
    <oc r="G14">
      <f>1429+174+20</f>
    </oc>
    <nc r="G14"/>
  </rcc>
  <rcc rId="1658" sId="3" numFmtId="4">
    <oc r="H14">
      <v>2400</v>
    </oc>
    <nc r="H14"/>
  </rcc>
  <rcc rId="1659" sId="3">
    <oc r="G15">
      <f>+-117+101+28+22+12+242</f>
    </oc>
    <nc r="G15"/>
  </rcc>
  <rcc rId="1660" sId="3" numFmtId="4">
    <oc r="H15">
      <v>1308</v>
    </oc>
    <nc r="H15"/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1" sId="3" xfDxf="1" s="1" dxf="1" numFmtId="4">
    <nc r="D12">
      <v>39093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662" sId="3" xfDxf="1" s="1" dxf="1" numFmtId="4">
    <nc r="D13">
      <v>33378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663" sId="3" xfDxf="1" s="1" dxf="1" numFmtId="4">
    <nc r="D14">
      <v>26929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664" sId="3" xfDxf="1" s="1" dxf="1" numFmtId="4">
    <nc r="D15">
      <v>63299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665" sId="3" xfDxf="1" s="1" dxf="1" numFmtId="4">
    <nc r="D16">
      <v>11042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666" sId="3" xfDxf="1" s="1" dxf="1" numFmtId="4">
    <nc r="D17">
      <v>557930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667" sId="3" xfDxf="1" s="1" dxf="1" numFmtId="4">
    <nc r="D18">
      <v>-3143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668" sId="3" xfDxf="1" s="1" dxf="1" numFmtId="4">
    <nc r="D19">
      <v>3234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669" sId="3" xfDxf="1" s="1" dxf="1" numFmtId="4">
    <nc r="D20">
      <v>-148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indexed="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ndxf>
  </rcc>
  <rcc rId="1670" sId="3" numFmtId="4">
    <nc r="D25">
      <v>6148</v>
    </nc>
  </rcc>
  <rcc rId="1671" sId="3" numFmtId="4">
    <nc r="D28">
      <v>605</v>
    </nc>
  </rcc>
  <rcc rId="1672" sId="3" numFmtId="4">
    <nc r="D34">
      <v>4579</v>
    </nc>
  </rcc>
  <rcc rId="1673" sId="3" numFmtId="4">
    <nc r="D39">
      <v>3399</v>
    </nc>
  </rcc>
  <rcc rId="1674" sId="3" numFmtId="4">
    <nc r="D43">
      <v>1664</v>
    </nc>
  </rcc>
  <rcc rId="1675" sId="3" numFmtId="4">
    <nc r="H12">
      <v>121314</v>
    </nc>
  </rcc>
  <rcc rId="1676" sId="3" numFmtId="4">
    <nc r="H13">
      <v>637730</v>
    </nc>
  </rcc>
  <rcc rId="1677" sId="3" numFmtId="4">
    <nc r="H14">
      <v>4124</v>
    </nc>
  </rcc>
  <rcc rId="1678" sId="3" numFmtId="4">
    <nc r="H15">
      <v>2049</v>
    </nc>
  </rcc>
  <rcc rId="1679" sId="3" numFmtId="4">
    <nc r="H18">
      <v>442</v>
    </nc>
  </rcc>
  <rcc rId="1680" sId="3" numFmtId="4">
    <nc r="H22">
      <v>2444</v>
    </nc>
  </rcc>
  <rcc rId="1681" sId="3" numFmtId="4">
    <nc r="H23">
      <v>235</v>
    </nc>
  </rcc>
  <rcc rId="1682" sId="3" numFmtId="4">
    <nc r="H24">
      <v>139</v>
    </nc>
  </rcc>
  <rcc rId="1683" sId="3" numFmtId="4">
    <nc r="H25">
      <v>1461</v>
    </nc>
  </rcc>
  <rcc rId="1684" sId="3" numFmtId="4">
    <nc r="H26">
      <v>1253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95" sId="3" numFmtId="4">
    <nc r="C12">
      <v>48113</v>
    </nc>
  </rcc>
  <rcc rId="1696" sId="3" numFmtId="4">
    <nc r="C13">
      <v>32929</v>
    </nc>
  </rcc>
  <rcc rId="1697" sId="3" numFmtId="4">
    <nc r="C14">
      <v>25653</v>
    </nc>
  </rcc>
  <rcc rId="1698" sId="3">
    <nc r="C15">
      <f>56923+2476+2038+732+645</f>
    </nc>
  </rcc>
  <rcc rId="1699" sId="3">
    <nc r="C16">
      <f>9842+396</f>
    </nc>
  </rcc>
  <rcc rId="1700" sId="3" numFmtId="4">
    <nc r="C17">
      <v>585362</v>
    </nc>
  </rcc>
  <rcc rId="1701" sId="3" numFmtId="4">
    <nc r="C18">
      <v>-3182</v>
    </nc>
  </rcc>
  <rcc rId="1702" sId="3" numFmtId="4">
    <nc r="C19">
      <v>2591</v>
    </nc>
  </rcc>
  <rcc rId="1703" sId="3">
    <nc r="C20">
      <f>-695+10</f>
    </nc>
  </rcc>
  <rcc rId="1704" sId="3">
    <nc r="C25">
      <f>2077+560+209+50</f>
    </nc>
  </rcc>
  <rcc rId="1705" sId="3" numFmtId="4">
    <nc r="C27">
      <v>88</v>
    </nc>
  </rcc>
  <rcc rId="1706" sId="3" numFmtId="4">
    <nc r="C28">
      <v>706</v>
    </nc>
  </rcc>
  <rcc rId="1707" sId="3" numFmtId="4">
    <nc r="C34">
      <v>9968</v>
    </nc>
  </rcc>
  <rcc rId="1708" sId="3" numFmtId="4">
    <nc r="C39">
      <v>5953</v>
    </nc>
  </rcc>
  <rcc rId="1709" sId="3" numFmtId="4">
    <nc r="C43">
      <v>2905</v>
    </nc>
  </rcc>
  <rcc rId="1710" sId="3" numFmtId="4">
    <nc r="G13">
      <v>667806</v>
    </nc>
  </rcc>
  <rcc rId="1711" sId="3" numFmtId="4">
    <nc r="G12">
      <v>135113</v>
    </nc>
  </rcc>
  <rcc rId="1712" sId="3" numFmtId="4">
    <nc r="G18">
      <v>375</v>
    </nc>
  </rcc>
  <rcc rId="1713" sId="3">
    <nc r="G14">
      <f>3610+365+89</f>
    </nc>
  </rcc>
  <rcc rId="1714" sId="3">
    <nc r="G15">
      <f>277+109+50+34+21+490</f>
    </nc>
  </rcc>
  <rcc rId="1715" sId="3">
    <nc r="G22">
      <f>1077+571+82+4</f>
    </nc>
  </rcc>
  <rcc rId="1716" sId="3" numFmtId="4">
    <nc r="G23">
      <v>26</v>
    </nc>
  </rcc>
  <rcc rId="1717" sId="3" numFmtId="4">
    <nc r="G25">
      <v>312</v>
    </nc>
  </rcc>
  <rcc rId="1718" sId="3" numFmtId="4">
    <nc r="G26">
      <v>52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29" sId="5" numFmtId="4">
    <nc r="C30">
      <v>-1918</v>
    </nc>
  </rcc>
  <rcc rId="1730" sId="5" numFmtId="4">
    <nc r="F21">
      <v>2427</v>
    </nc>
  </rcc>
  <rcc rId="1731" sId="5" numFmtId="4">
    <nc r="I21">
      <v>-2427</v>
    </nc>
  </rcc>
  <rcc rId="1732" sId="5" numFmtId="4">
    <oc r="E27">
      <v>156</v>
    </oc>
    <nc r="E27"/>
  </rcc>
  <rcc rId="1733" sId="5" numFmtId="4">
    <nc r="E28">
      <v>340</v>
    </nc>
  </rcc>
  <rcc rId="1734" sId="5" numFmtId="4">
    <oc r="H30">
      <v>-2</v>
    </oc>
    <nc r="H30"/>
  </rcc>
  <rcc rId="1735" sId="5">
    <oc r="E30">
      <f>-150-34-2257</f>
    </oc>
    <nc r="E30">
      <f>-157-42+22</f>
    </nc>
  </rcc>
  <rcc rId="1736" sId="5">
    <oc r="I30">
      <f>184+103</f>
    </oc>
    <nc r="I30">
      <f>199-1260+103</f>
    </nc>
  </rcc>
  <rcc rId="1737" sId="5" numFmtId="4">
    <oc r="M18">
      <v>1879</v>
    </oc>
    <nc r="M18">
      <v>2905</v>
    </nc>
  </rcc>
  <rcc rId="1738" sId="5" numFmtId="4">
    <oc r="M30">
      <v>-10</v>
    </oc>
    <nc r="M30">
      <f>-1914+8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9" sId="7" numFmtId="4">
    <oc r="C14">
      <v>51563</v>
    </oc>
    <nc r="C14">
      <v>50444</v>
    </nc>
  </rcc>
  <rcc rId="1760" sId="7" numFmtId="4">
    <oc r="C17">
      <v>6352</v>
    </oc>
    <nc r="C17">
      <v>6397</v>
    </nc>
  </rcc>
  <rcc rId="1761" sId="7">
    <oc r="C20">
      <f>3308+589+47</f>
    </oc>
    <nc r="C20">
      <f>3550+589+46</f>
    </nc>
  </rcc>
  <rcc rId="1762" sId="7" numFmtId="4">
    <oc r="C23">
      <v>983</v>
    </oc>
    <nc r="C23">
      <v>1291</v>
    </nc>
  </rcc>
  <rcc rId="1763" sId="7" numFmtId="4">
    <oc r="C27">
      <v>13673</v>
    </oc>
    <nc r="C27">
      <v>13780</v>
    </nc>
  </rcc>
  <rcc rId="1764" sId="7" numFmtId="4">
    <oc r="C28">
      <v>954</v>
    </oc>
    <nc r="C28">
      <v>811</v>
    </nc>
  </rcc>
  <rcc rId="1765" sId="7" numFmtId="4">
    <oc r="C30">
      <v>216793</v>
    </oc>
    <nc r="C30">
      <f>222600+4890</f>
    </nc>
  </rcc>
  <rcc rId="1766" sId="7" numFmtId="4">
    <oc r="C31">
      <v>25568</v>
    </oc>
    <nc r="C31">
      <v>16619</v>
    </nc>
  </rcc>
  <rcc rId="1767" sId="7" numFmtId="4">
    <oc r="C32">
      <v>1810</v>
    </oc>
    <nc r="C32">
      <v>1816</v>
    </nc>
  </rcc>
  <rcc rId="1768" sId="7" numFmtId="4">
    <oc r="C33">
      <v>13853</v>
    </oc>
    <nc r="C33">
      <v>13712</v>
    </nc>
  </rcc>
  <rcc rId="1769" sId="7" numFmtId="4">
    <oc r="C36">
      <v>3249</v>
    </oc>
    <nc r="C36">
      <v>431</v>
    </nc>
  </rcc>
  <rcc rId="1770" sId="7" numFmtId="4">
    <oc r="C37">
      <v>3292</v>
    </oc>
    <nc r="C37">
      <v>6662</v>
    </nc>
  </rcc>
  <rcc rId="1771" sId="7">
    <oc r="C39">
      <f>5039+15</f>
    </oc>
    <nc r="C39">
      <f>5036+18</f>
    </nc>
  </rcc>
  <rcc rId="1772" sId="7" numFmtId="4">
    <oc r="C44">
      <v>1476</v>
    </oc>
    <nc r="C44">
      <v>829</v>
    </nc>
  </rcc>
  <rcc rId="1773" sId="7">
    <oc r="C29">
      <f>189+3+1</f>
    </oc>
    <nc r="C29">
      <f>189+3+1215</f>
    </nc>
  </rcc>
  <rcc rId="1774" sId="7" numFmtId="4">
    <oc r="D27">
      <v>13673</v>
    </oc>
    <nc r="D27">
      <v>13780</v>
    </nc>
  </rcc>
  <rcc rId="1775" sId="7" numFmtId="4">
    <oc r="D28">
      <v>954</v>
    </oc>
    <nc r="D28">
      <v>811</v>
    </nc>
  </rcc>
  <rcc rId="1776" sId="7" numFmtId="4">
    <oc r="D29">
      <v>193</v>
    </oc>
    <nc r="D29">
      <v>1407</v>
    </nc>
  </rcc>
  <rcc rId="1777" sId="7" numFmtId="4">
    <oc r="D30">
      <v>216793</v>
    </oc>
    <nc r="D30">
      <v>227490</v>
    </nc>
  </rcc>
  <rcc rId="1778" sId="7" numFmtId="4">
    <oc r="D31">
      <v>25568</v>
    </oc>
    <nc r="D31">
      <v>16619</v>
    </nc>
  </rcc>
  <rcc rId="1779" sId="7" numFmtId="4">
    <oc r="D32">
      <v>1810</v>
    </oc>
    <nc r="D32">
      <v>1816</v>
    </nc>
  </rcc>
  <rcc rId="1780" sId="7" numFmtId="4">
    <oc r="D33">
      <v>13853</v>
    </oc>
    <nc r="D33">
      <v>13712</v>
    </nc>
  </rcc>
  <rcc rId="1781" sId="7" numFmtId="4">
    <oc r="D36">
      <v>3249</v>
    </oc>
    <nc r="D36">
      <v>431</v>
    </nc>
  </rcc>
  <rcc rId="1782" sId="7" numFmtId="4">
    <oc r="D44">
      <v>1476</v>
    </oc>
    <nc r="D44">
      <v>829</v>
    </nc>
  </rcc>
  <rcc rId="1783" sId="7" numFmtId="4">
    <oc r="D37">
      <v>3292</v>
    </oc>
    <nc r="D37">
      <v>6662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4" sId="7" numFmtId="4">
    <oc r="C56">
      <v>11320</v>
    </oc>
    <nc r="C56">
      <v>10962</v>
    </nc>
  </rcc>
  <rcc rId="1795" sId="7">
    <oc r="C66">
      <f>46022+7626+6670</f>
    </oc>
    <nc r="C66">
      <f>46046+7626+6615</f>
    </nc>
  </rcc>
  <rcc rId="1796" sId="7" numFmtId="4">
    <oc r="C70">
      <v>7915</v>
    </oc>
    <nc r="C70">
      <v>7754</v>
    </nc>
  </rcc>
  <rcc rId="1797" sId="7" numFmtId="4">
    <oc r="C67">
      <v>37961</v>
    </oc>
    <nc r="C67">
      <v>37995</v>
    </nc>
  </rcc>
  <rcc rId="1798" sId="7" numFmtId="4">
    <oc r="C59">
      <v>47599</v>
    </oc>
    <nc r="C59">
      <v>41998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" sId="6" numFmtId="4">
    <oc r="E15">
      <v>3558</v>
    </oc>
    <nc r="E15">
      <v>3602</v>
    </nc>
  </rcc>
  <rcc rId="663" sId="6" numFmtId="4">
    <oc r="F15">
      <v>8109</v>
    </oc>
    <nc r="F15">
      <v>8156</v>
    </nc>
  </rcc>
  <rcc rId="664" sId="6" numFmtId="4">
    <oc r="H15">
      <v>611</v>
    </oc>
    <nc r="H15">
      <v>642</v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9" sId="7" numFmtId="4">
    <oc r="C74">
      <v>5111</v>
    </oc>
    <nc r="C74">
      <v>3816</v>
    </nc>
  </rcc>
  <rcc rId="1810" sId="7" numFmtId="4">
    <oc r="C78">
      <v>182691</v>
    </oc>
    <nc r="C78">
      <v>175968</v>
    </nc>
  </rcc>
  <rcc rId="1811" sId="7" numFmtId="4">
    <oc r="C85">
      <v>9547</v>
    </oc>
    <nc r="C85">
      <v>9402</v>
    </nc>
  </rcc>
  <rcc rId="1812" sId="7" numFmtId="4">
    <oc r="C89">
      <v>146205</v>
    </oc>
    <nc r="C89">
      <v>155474</v>
    </nc>
  </rcc>
  <rcc rId="1813" sId="7" numFmtId="4">
    <oc r="C90">
      <v>392</v>
    </oc>
    <nc r="C90">
      <v>542</v>
    </nc>
  </rcc>
  <rcc rId="1814" sId="7" numFmtId="4">
    <oc r="C91">
      <v>14846</v>
    </oc>
    <nc r="C91">
      <v>15966</v>
    </nc>
  </rcc>
  <rcc rId="1815" sId="7" numFmtId="4">
    <oc r="C96">
      <v>3191</v>
    </oc>
    <nc r="C96">
      <v>3611</v>
    </nc>
  </rcc>
  <rcc rId="1816" sId="7" numFmtId="4">
    <oc r="C97">
      <v>20494</v>
    </oc>
    <nc r="C97">
      <v>24081</v>
    </nc>
  </rcc>
  <rcc rId="1817" sId="7" numFmtId="4">
    <oc r="C93">
      <v>1532</v>
    </oc>
    <nc r="C93">
      <v>975</v>
    </nc>
  </rcc>
  <rcc rId="1818" sId="7" numFmtId="4">
    <oc r="C94">
      <v>5553</v>
    </oc>
    <nc r="C94">
      <v>3230</v>
    </nc>
  </rcc>
  <rcc rId="1819" sId="7">
    <oc r="C95">
      <f>1016+806+15+40</f>
    </oc>
    <nc r="C95">
      <f>1170+131+4+18</f>
    </nc>
  </rcc>
  <rcc rId="1820" sId="7" numFmtId="4">
    <oc r="D74">
      <v>5111</v>
    </oc>
    <nc r="D74">
      <v>3816</v>
    </nc>
  </rcc>
  <rcc rId="1821" sId="7" numFmtId="4">
    <oc r="D78">
      <v>182691</v>
    </oc>
    <nc r="D78">
      <v>175968</v>
    </nc>
  </rcc>
  <rcc rId="1822" sId="7" numFmtId="4">
    <oc r="D85">
      <v>9547</v>
    </oc>
    <nc r="D85">
      <v>9402</v>
    </nc>
  </rcc>
  <rcc rId="1823" sId="7" numFmtId="4">
    <oc r="D89">
      <v>146205</v>
    </oc>
    <nc r="D89">
      <v>155474</v>
    </nc>
  </rcc>
  <rcc rId="1824" sId="7" numFmtId="4">
    <oc r="D90">
      <v>392</v>
    </oc>
    <nc r="D90">
      <v>542</v>
    </nc>
  </rcc>
  <rcc rId="1825" sId="7" numFmtId="4">
    <oc r="D91">
      <v>14846</v>
    </oc>
    <nc r="D91">
      <v>15966</v>
    </nc>
  </rcc>
  <rcc rId="1826" sId="7" numFmtId="4">
    <oc r="D93">
      <v>1532</v>
    </oc>
    <nc r="D93">
      <v>975</v>
    </nc>
  </rcc>
  <rcc rId="1827" sId="7" numFmtId="4">
    <oc r="D94">
      <v>5553</v>
    </oc>
    <nc r="D94">
      <v>3230</v>
    </nc>
  </rcc>
  <rcc rId="1828" sId="7" numFmtId="4">
    <oc r="D95">
      <v>1877</v>
    </oc>
    <nc r="D95">
      <v>1323</v>
    </nc>
  </rcc>
  <rcc rId="1829" sId="7" numFmtId="4">
    <oc r="D96">
      <v>3191</v>
    </oc>
    <nc r="D96">
      <v>3611</v>
    </nc>
  </rcc>
  <rcc rId="1830" sId="7" numFmtId="4">
    <oc r="D97">
      <v>20494</v>
    </oc>
    <nc r="D97">
      <v>24081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1" sId="6" numFmtId="4">
    <nc r="E11">
      <v>9</v>
    </nc>
  </rcc>
  <rcc rId="1832" sId="6" numFmtId="4">
    <oc r="F11">
      <v>29</v>
    </oc>
    <nc r="F11"/>
  </rcc>
  <rcc rId="1833" sId="6" numFmtId="4">
    <oc r="E12">
      <v>4259</v>
    </oc>
    <nc r="E12">
      <v>7545</v>
    </nc>
  </rcc>
  <rcc rId="1834" sId="6" numFmtId="4">
    <oc r="F12">
      <v>1671</v>
    </oc>
    <nc r="F12">
      <v>2235</v>
    </nc>
  </rcc>
  <rcc rId="1835" sId="6" numFmtId="4">
    <oc r="E13">
      <f>702+223</f>
    </oc>
    <nc r="E13">
      <v>1668</v>
    </nc>
  </rcc>
  <rcc rId="1836" sId="6" numFmtId="4">
    <oc r="F13">
      <f>406+50</f>
    </oc>
    <nc r="F13">
      <v>392</v>
    </nc>
  </rcc>
  <rcc rId="1837" sId="6" numFmtId="4">
    <oc r="E14">
      <v>29</v>
    </oc>
    <nc r="E14">
      <v>62</v>
    </nc>
  </rcc>
  <rcc rId="1838" sId="6" numFmtId="4">
    <oc r="F14">
      <f>6+34</f>
    </oc>
    <nc r="F14">
      <v>34</v>
    </nc>
  </rcc>
  <rcc rId="1839" sId="6" numFmtId="4">
    <oc r="E15">
      <f>820+647</f>
    </oc>
    <nc r="E15">
      <v>1912</v>
    </nc>
  </rcc>
  <rcc rId="1840" sId="6" numFmtId="4">
    <oc r="F15">
      <f>89+278</f>
    </oc>
    <nc r="F15">
      <v>518</v>
    </nc>
  </rcc>
  <rcc rId="1841" sId="6" numFmtId="4">
    <oc r="E16">
      <f>416+4</f>
    </oc>
    <nc r="E16">
      <v>988</v>
    </nc>
  </rcc>
  <rcc rId="1842" sId="6" numFmtId="4">
    <oc r="F16">
      <f>32+58</f>
    </oc>
    <nc r="F16">
      <v>446</v>
    </nc>
  </rcc>
  <rcc rId="1843" sId="6" numFmtId="4">
    <oc r="E18">
      <v>1</v>
    </oc>
    <nc r="E18"/>
  </rcc>
  <rcc rId="1844" sId="6" numFmtId="4">
    <oc r="F18">
      <f>34</f>
    </oc>
    <nc r="F18">
      <v>494</v>
    </nc>
  </rcc>
  <rcc rId="1845" sId="6" numFmtId="4">
    <oc r="E17">
      <v>2742</v>
    </oc>
    <nc r="E17">
      <v>7252</v>
    </nc>
  </rcc>
  <rcc rId="1846" sId="6" numFmtId="4">
    <oc r="F17">
      <f>5+271+874</f>
    </oc>
    <nc r="F17">
      <v>1415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7" sId="6" numFmtId="4">
    <oc r="L12">
      <f>5058</f>
    </oc>
    <nc r="L12">
      <v>10132</v>
    </nc>
  </rcc>
  <rcc rId="1858" sId="6" numFmtId="4">
    <oc r="M12">
      <f>96+845</f>
    </oc>
    <nc r="M12">
      <v>1409</v>
    </nc>
  </rcc>
  <rcc rId="1859" sId="6" numFmtId="4">
    <oc r="L13">
      <v>3332</v>
    </oc>
    <nc r="L13">
      <v>6691</v>
    </nc>
  </rcc>
  <rcc rId="1860" sId="6" numFmtId="4">
    <oc r="M13">
      <f>214+44</f>
    </oc>
    <nc r="M13">
      <v>338</v>
    </nc>
  </rcc>
  <rcc rId="1861" sId="6" numFmtId="4">
    <oc r="L14">
      <v>399</v>
    </oc>
    <nc r="L14">
      <v>823</v>
    </nc>
  </rcc>
  <rcc rId="1862" sId="6">
    <oc r="M14">
      <f>3+34</f>
    </oc>
    <nc r="M14">
      <f>34</f>
    </nc>
  </rcc>
  <rcc rId="1863" sId="6" numFmtId="4">
    <oc r="L15">
      <f>919</f>
    </oc>
    <nc r="L15">
      <v>1887</v>
    </nc>
  </rcc>
  <rcc rId="1864" sId="6" numFmtId="4">
    <oc r="M15">
      <f>44+235</f>
    </oc>
    <nc r="M15">
      <v>561</v>
    </nc>
  </rcc>
  <rcc rId="1865" sId="6" numFmtId="4">
    <oc r="L16">
      <v>698</v>
    </oc>
    <nc r="L16">
      <v>1407</v>
    </nc>
  </rcc>
  <rcc rId="1866" sId="6" numFmtId="4">
    <oc r="M16">
      <f>23+33</f>
    </oc>
    <nc r="M16">
      <v>365</v>
    </nc>
  </rcc>
  <rcc rId="1867" sId="6" numFmtId="4">
    <oc r="L18">
      <v>13</v>
    </oc>
    <nc r="L18"/>
  </rcc>
  <rcc rId="1868" sId="6" numFmtId="4">
    <oc r="M18">
      <v>17</v>
    </oc>
    <nc r="M18">
      <v>221</v>
    </nc>
  </rcc>
  <rcc rId="1869" sId="6" numFmtId="4">
    <oc r="L21">
      <v>10</v>
    </oc>
    <nc r="L21">
      <v>21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0" sId="6" numFmtId="4">
    <oc r="F23">
      <f>19+22</f>
    </oc>
    <nc r="F23">
      <v>30</v>
    </nc>
  </rcc>
  <rcc rId="1891" sId="6" numFmtId="4">
    <nc r="E23">
      <v>23</v>
    </nc>
  </rcc>
  <rcc rId="1892" sId="6" numFmtId="4">
    <oc r="E24">
      <f>24+14</f>
    </oc>
    <nc r="E24">
      <v>2136</v>
    </nc>
  </rcc>
  <rcc rId="1893" sId="6" numFmtId="4">
    <oc r="F24">
      <f>19</f>
    </oc>
    <nc r="F24">
      <v>3</v>
    </nc>
  </rcc>
  <rcc rId="1894" sId="6" numFmtId="4">
    <oc r="E26">
      <v>449</v>
    </oc>
    <nc r="E26">
      <v>356</v>
    </nc>
  </rcc>
  <rcc rId="1895" sId="6" numFmtId="4">
    <oc r="F26">
      <f>14+9</f>
    </oc>
    <nc r="F26">
      <v>1148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6" sId="6" numFmtId="4">
    <oc r="L23">
      <v>1636</v>
    </oc>
    <nc r="L23">
      <v>3263</v>
    </nc>
  </rcc>
  <rcc rId="1907" sId="6" numFmtId="4">
    <oc r="M23">
      <f>7+3</f>
    </oc>
    <nc r="M23">
      <v>2</v>
    </nc>
  </rcc>
  <rcc rId="1908" sId="6" numFmtId="4">
    <oc r="L24">
      <v>776</v>
    </oc>
    <nc r="L24">
      <v>1551</v>
    </nc>
  </rcc>
  <rcc rId="1909" sId="6" numFmtId="4">
    <oc r="M24">
      <f>13</f>
    </oc>
    <nc r="M24">
      <v>3</v>
    </nc>
  </rcc>
  <rcc rId="1910" sId="6" numFmtId="4">
    <nc r="E41">
      <v>19</v>
    </nc>
  </rcc>
  <rcc rId="1911" sId="6" numFmtId="4">
    <oc r="F41">
      <v>83</v>
    </oc>
    <nc r="F41"/>
  </rc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2" sId="6" numFmtId="4">
    <oc r="E31">
      <v>77</v>
    </oc>
    <nc r="E31">
      <v>48</v>
    </nc>
  </rcc>
  <rcc rId="1913" sId="6" numFmtId="4">
    <oc r="E32">
      <f>3954+692</f>
    </oc>
    <nc r="E32">
      <v>9922</v>
    </nc>
  </rcc>
  <rcc rId="1914" sId="6" numFmtId="4">
    <oc r="F32">
      <v>1228</v>
    </oc>
    <nc r="F32">
      <v>301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5" sId="6" numFmtId="4">
    <nc r="I33">
      <v>340</v>
    </nc>
  </rcc>
  <rcc rId="1926" sId="6" numFmtId="4">
    <oc r="H33">
      <v>81</v>
    </oc>
    <nc r="H33"/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7" sId="6" numFmtId="4">
    <oc r="E33">
      <f>341+(156-81)</f>
    </oc>
    <nc r="E33">
      <v>363</v>
    </nc>
  </rcc>
  <rcc rId="1938" sId="6" numFmtId="4">
    <oc r="F33">
      <v>427</v>
    </oc>
    <nc r="F33">
      <v>594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" sId="6" numFmtId="4">
    <oc r="E16">
      <v>3748</v>
    </oc>
    <nc r="E16">
      <v>3703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69" sId="6" numFmtId="4">
    <oc r="I33">
      <v>340</v>
    </oc>
    <nc r="I33">
      <v>419</v>
    </nc>
  </rcc>
  <rcc rId="1970" sId="6" numFmtId="4">
    <oc r="F33">
      <v>594</v>
    </oc>
    <nc r="F33">
      <v>648</v>
    </nc>
  </rcc>
  <rcc rId="1971" sId="6" numFmtId="4">
    <oc r="E32">
      <v>9922</v>
    </oc>
    <nc r="E32">
      <f>9922+1041</f>
    </nc>
  </rcc>
  <rcc rId="1972" sId="6" numFmtId="4">
    <oc r="F32">
      <v>301</v>
    </oc>
    <nc r="F32">
      <f>1215+127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3" sId="9" numFmtId="4">
    <oc r="C13">
      <v>15286031</v>
    </oc>
    <nc r="C13">
      <v>15190738</v>
    </nc>
  </rcc>
  <rcc rId="1984" sId="9">
    <oc r="F13">
      <f>136641-82</f>
    </oc>
    <nc r="F13">
      <f>142176+416</f>
    </nc>
  </rcc>
  <rcc rId="1985" sId="9" numFmtId="4">
    <oc r="G13">
      <v>82</v>
    </oc>
    <nc r="G13"/>
  </rcc>
  <rcc rId="1986" sId="9" numFmtId="4">
    <nc r="H13">
      <v>416</v>
    </nc>
  </rcc>
  <rcc rId="1987" sId="10">
    <oc r="F13">
      <f>22+1</f>
    </oc>
    <nc r="F13">
      <f>20+3</f>
    </nc>
  </rcc>
  <rcc rId="1988" sId="10" numFmtId="4">
    <oc r="H13">
      <v>1</v>
    </oc>
    <nc r="H13">
      <v>3</v>
    </nc>
  </rcc>
  <rcc rId="1989" sId="8">
    <oc r="G13">
      <f>+'Справка 8 България'!G13-'Справка 8 САЩ'!H13</f>
    </oc>
    <nc r="G13"/>
  </rcc>
  <rcc rId="1990" sId="8">
    <nc r="H13">
      <f>+'Справка 8 България'!H13+'Справка 8 САЩ'!H13</f>
    </nc>
  </rcc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1" sId="2" numFmtId="4">
    <oc r="C12">
      <v>358261</v>
    </oc>
    <nc r="C12">
      <v>60912</v>
    </nc>
  </rcc>
  <rcc rId="1992" sId="2" numFmtId="4">
    <nc r="C13">
      <v>162722</v>
    </nc>
  </rcc>
  <rcc rId="1993" sId="2" numFmtId="4">
    <nc r="C14">
      <v>92105</v>
    </nc>
  </rcc>
  <rcc rId="1994" sId="2" numFmtId="4">
    <nc r="C15">
      <v>11480</v>
    </nc>
  </rcc>
  <rcc rId="1995" sId="2" numFmtId="4">
    <nc r="C16">
      <v>10286</v>
    </nc>
  </rcc>
  <rcc rId="1996" sId="2" numFmtId="4">
    <nc r="C17">
      <v>9681</v>
    </nc>
  </rcc>
  <rcc rId="1997" sId="2" numFmtId="4">
    <nc r="C18">
      <v>10635</v>
    </nc>
  </rcc>
  <rcc rId="1998" sId="2" numFmtId="4">
    <nc r="C22">
      <v>440</v>
    </nc>
  </rcc>
  <rcc rId="1999" sId="2" numFmtId="4">
    <oc r="C24">
      <v>50946</v>
    </oc>
    <nc r="C24">
      <v>30748</v>
    </nc>
  </rcc>
  <rcc rId="2000" sId="2" numFmtId="4">
    <nc r="C25">
      <v>18143</v>
    </nc>
  </rcc>
  <rcc rId="2001" sId="2" numFmtId="4">
    <nc r="C27">
      <v>2055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2" sId="9" numFmtId="4">
    <oc r="C21">
      <v>13055000</v>
    </oc>
    <nc r="C21">
      <v>13479000</v>
    </nc>
  </rcc>
  <rcc rId="2013" sId="9" numFmtId="4">
    <oc r="F21">
      <v>50284</v>
    </oc>
    <nc r="F21">
      <v>52202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4" sId="4" numFmtId="4">
    <oc r="D11">
      <v>388441</v>
    </oc>
    <nc r="D11">
      <v>775978</v>
    </nc>
  </rcc>
  <rcc rId="2025" sId="4" numFmtId="4">
    <oc r="D12">
      <v>-353887</v>
    </oc>
    <nc r="D12">
      <v>-708413</v>
    </nc>
  </rcc>
  <rcc rId="2026" sId="4" numFmtId="4">
    <oc r="D14">
      <v>-35276</v>
    </oc>
    <nc r="D14">
      <v>-72108</v>
    </nc>
  </rcc>
  <rcc rId="2027" sId="4" numFmtId="4">
    <oc r="D15">
      <v>-14858</v>
    </oc>
    <nc r="D15">
      <v>-33979</v>
    </nc>
  </rcc>
  <rcc rId="2028" sId="4" numFmtId="4">
    <oc r="D16">
      <v>-44</v>
    </oc>
    <nc r="D16">
      <v>-4432</v>
    </nc>
  </rcc>
  <rcc rId="2029" sId="4" numFmtId="4">
    <oc r="D18">
      <v>-2256</v>
    </oc>
    <nc r="D18">
      <v>-3868</v>
    </nc>
  </rcc>
  <rcc rId="2030" sId="4" numFmtId="4">
    <oc r="D19">
      <v>-180</v>
    </oc>
    <nc r="D19">
      <v>-175</v>
    </nc>
  </rcc>
  <rcc rId="2031" sId="4" numFmtId="4">
    <oc r="D20">
      <v>-53</v>
    </oc>
    <nc r="D20">
      <v>-164</v>
    </nc>
  </rcc>
  <rcc rId="2032" sId="4" numFmtId="4">
    <oc r="D23">
      <v>-6645</v>
    </oc>
    <nc r="D23">
      <v>-13221</v>
    </nc>
  </rcc>
  <rcc rId="2033" sId="4" numFmtId="4">
    <oc r="D24">
      <v>437</v>
    </oc>
    <nc r="D24">
      <v>868</v>
    </nc>
  </rcc>
  <rcc rId="2034" sId="4" numFmtId="4">
    <oc r="D25">
      <v>-620</v>
    </oc>
    <nc r="D25">
      <v>-2846</v>
    </nc>
  </rcc>
  <rcc rId="2035" sId="4" numFmtId="4">
    <oc r="D26">
      <v>14</v>
    </oc>
    <nc r="D26">
      <v>1528</v>
    </nc>
  </rcc>
  <rcc rId="2036" sId="4" numFmtId="4">
    <oc r="D27">
      <v>80</v>
    </oc>
    <nc r="D27">
      <v>121</v>
    </nc>
  </rcc>
  <rcc rId="2037" sId="4" numFmtId="4">
    <oc r="D28">
      <v>-1354</v>
    </oc>
    <nc r="D28">
      <v>-2333</v>
    </nc>
  </rcc>
  <rcc rId="2038" sId="4" numFmtId="4">
    <oc r="D29">
      <v>870</v>
    </oc>
    <nc r="D29">
      <v>681</v>
    </nc>
  </rcc>
  <rcc rId="2039" sId="4" numFmtId="4">
    <nc r="D30">
      <v>183</v>
    </nc>
  </rcc>
  <rcc rId="2040" sId="4" numFmtId="4">
    <nc r="D35">
      <v>0</v>
    </nc>
  </rcc>
  <rcc rId="2041" sId="4" numFmtId="4">
    <nc r="D36">
      <v>0</v>
    </nc>
  </rcc>
  <rcc rId="2042" sId="4" numFmtId="4">
    <nc r="D31">
      <v>0</v>
    </nc>
  </rcc>
  <rcc rId="2043" sId="4" numFmtId="4">
    <nc r="D32">
      <v>0</v>
    </nc>
  </rcc>
  <rcc rId="2044" sId="4" numFmtId="4">
    <oc r="D37">
      <v>1988</v>
    </oc>
    <nc r="D37">
      <v>13217</v>
    </nc>
  </rcc>
  <rcc rId="2045" sId="4" numFmtId="4">
    <oc r="D38">
      <v>-21589</v>
    </oc>
    <nc r="D38">
      <v>-52980</v>
    </nc>
  </rcc>
  <rcc rId="2046" sId="4" numFmtId="4">
    <oc r="D39">
      <v>-5723</v>
    </oc>
    <nc r="D39">
      <v>-10608</v>
    </nc>
  </rcc>
  <rcc rId="2047" sId="4" numFmtId="4">
    <oc r="D40">
      <v>-366</v>
    </oc>
    <nc r="D40">
      <v>-1308</v>
    </nc>
  </rcc>
  <rcc rId="2048" sId="4" numFmtId="4">
    <oc r="D41">
      <v>-4</v>
    </oc>
    <nc r="D41">
      <v>-12</v>
    </nc>
  </rcc>
  <rcc rId="2049" sId="4" numFmtId="4">
    <oc r="D42">
      <v>48089</v>
    </oc>
    <nc r="D42">
      <v>109248</v>
    </nc>
  </rcc>
  <rcc rId="2050" sId="4" numFmtId="4">
    <oc r="D47">
      <v>22203</v>
    </oc>
    <nc r="D47">
      <v>20516</v>
    </nc>
  </rcc>
  <rcc rId="2051" sId="4" numFmtId="4">
    <oc r="D48">
      <v>154</v>
    </oc>
    <nc r="D48">
      <v>152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2" sId="4" numFmtId="4">
    <oc r="C11">
      <v>441710</v>
    </oc>
    <nc r="C11"/>
  </rcc>
  <rcc rId="2073" sId="4" numFmtId="4">
    <oc r="C12">
      <v>-374971</v>
    </oc>
    <nc r="C12"/>
  </rcc>
  <rcc rId="2074" sId="4" numFmtId="4">
    <oc r="C14">
      <v>-33383</v>
    </oc>
    <nc r="C14"/>
  </rcc>
  <rcc rId="2075" sId="4" numFmtId="4">
    <oc r="C15">
      <v>-14988</v>
    </oc>
    <nc r="C15"/>
  </rcc>
  <rcc rId="2076" sId="4" numFmtId="4">
    <oc r="C16">
      <v>-63</v>
    </oc>
    <nc r="C16"/>
  </rcc>
  <rcc rId="2077" sId="4" numFmtId="4">
    <oc r="C18">
      <v>-1484</v>
    </oc>
    <nc r="C18"/>
  </rcc>
  <rcc rId="2078" sId="4" numFmtId="4">
    <oc r="C19">
      <v>-556</v>
    </oc>
    <nc r="C19"/>
  </rcc>
  <rcc rId="2079" sId="4" numFmtId="4">
    <oc r="C20">
      <v>-216</v>
    </oc>
    <nc r="C20"/>
  </rcc>
  <rcc rId="2080" sId="4" numFmtId="4">
    <oc r="C23">
      <v>-4918</v>
    </oc>
    <nc r="C23"/>
  </rcc>
  <rcc rId="2081" sId="4" numFmtId="4">
    <oc r="C24">
      <v>873</v>
    </oc>
    <nc r="C24"/>
  </rcc>
  <rcc rId="2082" sId="4" numFmtId="4">
    <oc r="C25">
      <v>-1500</v>
    </oc>
    <nc r="C25"/>
  </rcc>
  <rcc rId="2083" sId="4" numFmtId="4">
    <oc r="C27">
      <v>25</v>
    </oc>
    <nc r="C27"/>
  </rcc>
  <rcc rId="2084" sId="4" numFmtId="4">
    <oc r="C28">
      <v>-1033</v>
    </oc>
    <nc r="C28"/>
  </rcc>
  <rcc rId="2085" sId="4" numFmtId="4">
    <oc r="C29">
      <v>626</v>
    </oc>
    <nc r="C29"/>
  </rcc>
  <rcc rId="2086" sId="4" numFmtId="4">
    <oc r="C30">
      <v>0</v>
    </oc>
    <nc r="C30"/>
  </rcc>
  <rcc rId="2087" sId="4" numFmtId="4">
    <oc r="C37">
      <v>11356</v>
    </oc>
    <nc r="C37"/>
  </rcc>
  <rcc rId="2088" sId="4" numFmtId="4">
    <oc r="C38">
      <v>-40724</v>
    </oc>
    <nc r="C38"/>
  </rcc>
  <rcc rId="2089" sId="4" numFmtId="4">
    <oc r="C39">
      <v>-4504</v>
    </oc>
    <nc r="C39"/>
  </rcc>
  <rcc rId="2090" sId="4" numFmtId="4">
    <oc r="C40">
      <v>-93</v>
    </oc>
    <nc r="C40"/>
  </rcc>
  <rcc rId="2091" sId="4" numFmtId="4">
    <oc r="C41">
      <v>-4</v>
    </oc>
    <nc r="C41"/>
  </rcc>
  <rcc rId="2092" sId="4" numFmtId="4">
    <oc r="C42">
      <v>6590</v>
    </oc>
    <nc r="C42"/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3" sId="4" numFmtId="4">
    <nc r="C11">
      <v>896510</v>
    </nc>
  </rcc>
  <rcc rId="2094" sId="4" numFmtId="4">
    <nc r="C12">
      <v>-760656</v>
    </nc>
  </rcc>
  <rcc rId="2095" sId="4" numFmtId="4">
    <nc r="C14">
      <v>-69550</v>
    </nc>
  </rcc>
  <rcc rId="2096" sId="4" numFmtId="4">
    <nc r="C15">
      <v>-31639</v>
    </nc>
  </rcc>
  <rcc rId="2097" sId="4" numFmtId="4">
    <nc r="C16">
      <v>-4134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8" sId="4" numFmtId="4">
    <nc r="C18">
      <v>-2533</v>
    </nc>
  </rcc>
  <rcc rId="2109" sId="4" numFmtId="4">
    <nc r="C19">
      <v>-240</v>
    </nc>
  </rcc>
  <rcc rId="2110" sId="4" numFmtId="4">
    <nc r="C20">
      <v>-422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" sId="6" numFmtId="4">
    <oc r="E17">
      <v>12914</v>
    </oc>
    <nc r="E17">
      <v>12922</v>
    </nc>
  </rcc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1" sId="4" numFmtId="4">
    <nc r="C23">
      <v>-9576</v>
    </nc>
  </rcc>
  <rcc rId="2122" sId="4" numFmtId="4">
    <nc r="C24">
      <v>1148</v>
    </nc>
  </rcc>
  <rcc rId="2123" sId="4" numFmtId="4">
    <nc r="C25">
      <v>-1500</v>
    </nc>
  </rcc>
  <rcc rId="2124" sId="4" numFmtId="4">
    <nc r="C26">
      <v>684</v>
    </nc>
  </rcc>
  <rcc rId="2125" sId="4" numFmtId="4">
    <nc r="C27">
      <v>859</v>
    </nc>
  </rcc>
  <rcc rId="2126" sId="4" numFmtId="4">
    <nc r="C28">
      <v>-4578</v>
    </nc>
  </rcc>
  <rcc rId="2127" sId="4" numFmtId="4">
    <nc r="C30">
      <v>0</v>
    </nc>
  </rcc>
  <rcc rId="2128" sId="4" numFmtId="4">
    <nc r="C29">
      <v>1012</v>
    </nc>
  </rcc>
  <rcc rId="2129" sId="4" numFmtId="4">
    <nc r="C32">
      <v>12</v>
    </nc>
  </rcc>
  <rcc rId="2130" sId="4" numFmtId="4">
    <nc r="C31">
      <v>0</v>
    </nc>
  </rcc>
  <rcc rId="2131" sId="4" numFmtId="4">
    <nc r="C13">
      <v>0</v>
    </nc>
  </rcc>
  <rcc rId="2132" sId="4" numFmtId="4">
    <nc r="D13">
      <v>0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3" sId="4" numFmtId="4">
    <nc r="C36">
      <v>-1918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4" sId="4" numFmtId="4">
    <nc r="C37">
      <v>4106</v>
    </nc>
  </rcc>
  <rcc rId="2155" sId="4" numFmtId="4">
    <nc r="C38">
      <v>-46441</v>
    </nc>
  </rcc>
  <rcc rId="2156" sId="4" numFmtId="4">
    <nc r="C39">
      <v>-8602</v>
    </nc>
  </rcc>
  <rcc rId="2157" sId="4" numFmtId="4">
    <nc r="C40">
      <v>-176</v>
    </nc>
  </rcc>
  <rcc rId="2158" sId="4" numFmtId="4">
    <nc r="C41">
      <v>-6</v>
    </nc>
  </rcc>
  <rcc rId="2159" sId="4" numFmtId="4">
    <nc r="C42">
      <v>18935</v>
    </nc>
  </rcc>
  <rcc rId="2160" sId="4" numFmtId="4">
    <oc r="C48">
      <v>5</v>
    </oc>
    <nc r="C48">
      <v>4</v>
    </nc>
  </rcc>
  <rcc rId="2161" sId="4" numFmtId="4">
    <oc r="C47">
      <v>20460</v>
    </oc>
    <nc r="C47">
      <v>19012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2" sId="7" numFmtId="4">
    <oc r="F59">
      <v>51850</v>
    </oc>
    <nc r="F59">
      <v>51208</v>
    </nc>
  </rcc>
  <rcc rId="2183" sId="7">
    <oc r="F78">
      <f>366632-51850</f>
    </oc>
    <nc r="F78">
      <f>430330-51208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94" sId="5" numFmtId="4">
    <oc r="E28">
      <v>340</v>
    </oc>
    <nc r="E28">
      <v>419</v>
    </nc>
  </rcc>
  <rcc rId="2195" sId="5">
    <oc r="E30">
      <f>-157-42+22</f>
    </oc>
    <nc r="E30">
      <f>-157-42+22+79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6" sId="6" numFmtId="4">
    <oc r="F33">
      <v>648</v>
    </oc>
    <nc r="F33">
      <v>515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7" sId="1" numFmtId="19">
    <oc r="B11">
      <v>44800</v>
    </oc>
    <nc r="B11">
      <v>44799</v>
    </nc>
  </rcc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8" sId="2" numFmtId="4">
    <oc r="C51">
      <f>10582-6397</f>
    </oc>
    <nc r="C51">
      <v>4185</v>
    </nc>
  </rcc>
  <rcc rId="2219" sId="2" numFmtId="4">
    <oc r="C60">
      <f>29806+2434</f>
    </oc>
    <nc r="C60">
      <v>32240</v>
    </nc>
  </rcc>
  <rcc rId="2220" sId="2" numFmtId="4">
    <oc r="C69">
      <f>222600+4890</f>
    </oc>
    <nc r="C69">
      <v>227490</v>
    </nc>
  </rcc>
  <rcc rId="2221" sId="2" numFmtId="4">
    <oc r="C75">
      <f>231+26+23+549</f>
    </oc>
    <nc r="C75">
      <v>829</v>
    </nc>
  </rcc>
  <rcc rId="2222" sId="2" numFmtId="4">
    <oc r="C89">
      <f>14439+1707+74</f>
    </oc>
    <nc r="C89">
      <v>16220</v>
    </nc>
  </rcc>
  <rcc rId="2223" sId="2" numFmtId="4">
    <oc r="G21">
      <f>36631+1262+704</f>
    </oc>
    <nc r="G21">
      <v>38597</v>
    </nc>
  </rcc>
  <rcc rId="2224" sId="2" numFmtId="4">
    <oc r="G29">
      <f>484614-43365</f>
    </oc>
    <nc r="G29">
      <v>441249</v>
    </nc>
  </rcc>
  <rcc rId="2225" sId="2" numFmtId="4">
    <oc r="G49">
      <f>37995+8051</f>
    </oc>
    <nc r="G49">
      <v>46046</v>
    </nc>
  </rcc>
  <rcc rId="2226" sId="2" numFmtId="4">
    <oc r="G69">
      <f>7449+5878+11415-661</f>
    </oc>
    <nc r="G69">
      <v>24081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7" sId="3" numFmtId="4">
    <oc r="C15">
      <f>56923+2476+2038+732+645</f>
    </oc>
    <nc r="C15">
      <v>62814</v>
    </nc>
  </rcc>
  <rcc rId="2238" sId="3" numFmtId="4">
    <oc r="C16">
      <f>9842+396</f>
    </oc>
    <nc r="C16">
      <v>10238</v>
    </nc>
  </rcc>
  <rcc rId="2239" sId="3" numFmtId="4">
    <oc r="C20">
      <f>-695+10</f>
    </oc>
    <nc r="C20">
      <v>-685</v>
    </nc>
  </rcc>
  <rcc rId="2240" sId="3" numFmtId="4">
    <oc r="G14">
      <f>3610+365+89</f>
    </oc>
    <nc r="G14">
      <v>4064</v>
    </nc>
  </rcc>
  <rcc rId="2241" sId="3" numFmtId="4">
    <oc r="G15">
      <f>277+109+50+34+21+490</f>
    </oc>
    <nc r="G15">
      <v>981</v>
    </nc>
  </rcc>
  <rcc rId="2242" sId="3" numFmtId="4">
    <oc r="G22">
      <f>1077+571+82+4</f>
    </oc>
    <nc r="G22">
      <v>1734</v>
    </nc>
  </rcc>
  <rcc rId="2243" sId="3" numFmtId="4">
    <oc r="C25">
      <f>2077+560+209+50</f>
    </oc>
    <nc r="C25">
      <v>2896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" sId="6" numFmtId="4">
    <oc r="F17">
      <v>17628</v>
    </oc>
    <nc r="F17">
      <v>17636</v>
    </nc>
  </rcc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4" sId="5" numFmtId="4">
    <oc r="E30">
      <f>-157-42+22+79</f>
    </oc>
    <nc r="E30">
      <v>-98</v>
    </nc>
  </rcc>
  <rcc rId="2245" sId="5" numFmtId="4">
    <oc r="I30">
      <f>199-1260+103</f>
    </oc>
    <nc r="I30">
      <v>-958</v>
    </nc>
  </rcc>
  <rcc rId="2246" sId="5" numFmtId="4">
    <oc r="M30">
      <f>-1914+8</f>
    </oc>
    <nc r="M30">
      <v>-1906</v>
    </nc>
  </rcc>
  <rcc rId="2247" sId="6" numFmtId="4">
    <oc r="M14">
      <f>34</f>
    </oc>
    <nc r="M14">
      <v>34</v>
    </nc>
  </rcc>
  <rcc rId="2248" sId="6" numFmtId="4">
    <oc r="E32">
      <f>9922+1041</f>
    </oc>
    <nc r="E32">
      <v>10963</v>
    </nc>
  </rcc>
  <rcc rId="2249" sId="6" numFmtId="4">
    <oc r="F32">
      <f>1215+127</f>
    </oc>
    <nc r="F32">
      <v>1342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0" sId="7" numFmtId="4">
    <oc r="C20">
      <f>3550+589+46</f>
    </oc>
    <nc r="C20">
      <v>4185</v>
    </nc>
  </rcc>
  <rcc rId="2251" sId="7" numFmtId="4">
    <oc r="C29">
      <f>189+3+1215</f>
    </oc>
    <nc r="C29">
      <v>1407</v>
    </nc>
  </rcc>
  <rcc rId="2252" sId="7" numFmtId="4">
    <oc r="C30">
      <f>222600+4890</f>
    </oc>
    <nc r="C30">
      <v>227490</v>
    </nc>
  </rcc>
  <rcc rId="2253" sId="7" numFmtId="4">
    <oc r="C39">
      <f>5036+18</f>
    </oc>
    <nc r="C39">
      <v>5054</v>
    </nc>
  </rcc>
  <rcc rId="2254" sId="7" numFmtId="4">
    <oc r="C66">
      <f>46046+7626+6615</f>
    </oc>
    <nc r="C66">
      <v>60287</v>
    </nc>
  </rcc>
  <rcc rId="2255" sId="7" numFmtId="4">
    <oc r="C95">
      <f>1170+131+4+18</f>
    </oc>
    <nc r="C95">
      <v>1323</v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6" sId="8" numFmtId="4">
    <oc r="C13">
      <f>+'Справка 8 България'!C13+'Справка 8 САЩ'!C13</f>
    </oc>
    <nc r="C13">
      <v>15192534</v>
    </nc>
  </rcc>
  <rcc rId="2257" sId="8" numFmtId="4">
    <oc r="F13">
      <f>+'Справка 8 България'!F13+'Справка 8 САЩ'!F13</f>
    </oc>
    <nc r="F13">
      <v>142615</v>
    </nc>
  </rcc>
  <rcc rId="2258" sId="8" numFmtId="4">
    <oc r="H13">
      <f>+'Справка 8 България'!H13+'Справка 8 САЩ'!H13</f>
    </oc>
    <nc r="H13">
      <v>419</v>
    </nc>
  </rcc>
  <rcc rId="2259" sId="8" numFmtId="4">
    <oc r="C21">
      <f>+'Справка 8 България'!C21</f>
    </oc>
    <nc r="C21">
      <v>13479000</v>
    </nc>
  </rcc>
  <rcc rId="2260" sId="8" numFmtId="4">
    <oc r="F21">
      <f>+'Справка 8 България'!F21</f>
    </oc>
    <nc r="F21">
      <v>52202</v>
    </nc>
  </rcc>
  <rcc rId="2261" sId="9" numFmtId="4">
    <oc r="F13">
      <f>142176+416</f>
    </oc>
    <nc r="F13">
      <v>142592</v>
    </nc>
  </rcc>
  <rcc rId="2262" sId="10" numFmtId="4">
    <oc r="F13">
      <f>20+3</f>
    </oc>
    <nc r="F13">
      <v>23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" sId="6" numFmtId="4">
    <oc r="L13">
      <v>13370</v>
    </oc>
    <nc r="L13">
      <v>13371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" sId="6" numFmtId="4">
    <nc r="O13">
      <v>2000</v>
    </nc>
  </rcc>
  <rcc rId="670" sId="6" numFmtId="4">
    <oc r="M13">
      <v>9116</v>
    </oc>
    <nc r="M13">
      <v>9114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" sId="5" numFmtId="4">
    <oc r="E28">
      <v>354</v>
    </oc>
    <nc r="E28">
      <v>355</v>
    </nc>
  </rcc>
  <rcc rId="562" sId="5">
    <oc r="E30">
      <f>-1121-283+3353</f>
    </oc>
    <nc r="E30">
      <f>-1122-283+3367</f>
    </nc>
  </rcc>
  <rcc rId="563" sId="5">
    <oc r="I30">
      <f>-4149+1404-23</f>
    </oc>
    <nc r="I30">
      <f>-4148+1405-23</f>
    </nc>
  </rcc>
  <rcc rId="564" sId="5" numFmtId="4">
    <oc r="M18">
      <v>2257</v>
    </oc>
    <nc r="M18">
      <v>2207</v>
    </nc>
  </rcc>
  <rcc rId="565" sId="5">
    <oc r="M30">
      <f>1195-4357-480</f>
    </oc>
    <nc r="M30">
      <f>1196-4357-479</f>
    </nc>
  </rcc>
  <rcc rId="566" sId="5" numFmtId="4">
    <oc r="E24">
      <v>9469</v>
    </oc>
    <nc r="E24">
      <v>9485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" sId="6" numFmtId="4">
    <oc r="L15">
      <v>3997</v>
    </oc>
    <nc r="L15">
      <v>4001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2" sId="6" numFmtId="4">
    <oc r="M15">
      <v>7039</v>
    </oc>
    <nc r="M15">
      <v>6946</v>
    </nc>
  </rcc>
  <rcc rId="673" sId="6" numFmtId="4">
    <oc r="P15">
      <v>63</v>
    </oc>
    <nc r="P15">
      <v>29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4" sId="6" numFmtId="4">
    <oc r="L16">
      <v>2636</v>
    </oc>
    <nc r="L16">
      <v>2637</v>
    </nc>
  </rcc>
  <rcc rId="675" sId="6" numFmtId="4">
    <oc r="M16">
      <v>2642</v>
    </oc>
    <nc r="M16">
      <v>2614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6" sId="2" numFmtId="4">
    <oc r="C12">
      <v>362393</v>
    </oc>
    <nc r="C12">
      <v>60904</v>
    </nc>
  </rcc>
  <rcc rId="707" sId="2" numFmtId="4">
    <nc r="C13">
      <v>166135</v>
    </nc>
  </rcc>
  <rcc rId="708" sId="2" numFmtId="4">
    <nc r="C14">
      <v>97182</v>
    </nc>
  </rcc>
  <rcc rId="709" sId="2" numFmtId="4">
    <nc r="C15">
      <v>12241</v>
    </nc>
  </rcc>
  <rcc rId="710" sId="2" numFmtId="4">
    <nc r="C16">
      <v>10218</v>
    </nc>
  </rcc>
  <rcc rId="711" sId="2" numFmtId="4">
    <nc r="C17">
      <v>10181</v>
    </nc>
  </rcc>
  <rcc rId="712" sId="2" numFmtId="4">
    <nc r="C18">
      <v>4798</v>
    </nc>
  </rcc>
  <rcc rId="713" sId="2" numFmtId="4">
    <nc r="C19">
      <v>273</v>
    </nc>
  </rcc>
  <rcc rId="714" sId="2" numFmtId="4">
    <nc r="C22">
      <v>461</v>
    </nc>
  </rcc>
  <rcc rId="715" sId="2" numFmtId="4">
    <oc r="C24">
      <v>54421</v>
    </oc>
    <nc r="C24">
      <v>33720</v>
    </nc>
  </rcc>
  <rcc rId="716" sId="2" numFmtId="4">
    <nc r="C25">
      <v>17596</v>
    </nc>
  </rcc>
  <rcc rId="717" sId="2" numFmtId="4">
    <nc r="C27">
      <v>2876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8" sId="7">
    <oc r="F78">
      <f>399760-57109</f>
    </oc>
    <nc r="F78">
      <f>410968-57109</f>
    </nc>
  </rcc>
  <rcc rId="719" sId="7" numFmtId="4">
    <oc r="D106">
      <v>128</v>
    </oc>
    <nc r="D106">
      <v>138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" sId="2" numFmtId="4">
    <oc r="C27">
      <v>2876</v>
    </oc>
    <nc r="C27"/>
  </rcc>
  <rcc rId="721" sId="2" numFmtId="4">
    <oc r="C25">
      <v>17596</v>
    </oc>
    <nc r="C25"/>
  </rcc>
  <rcc rId="722" sId="2" numFmtId="4">
    <oc r="C24">
      <v>33720</v>
    </oc>
    <nc r="C24">
      <v>54421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3" sId="6" numFmtId="4">
    <oc r="E24">
      <v>5884</v>
    </oc>
    <nc r="E24">
      <v>6034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" sId="7" numFmtId="4">
    <oc r="C23">
      <v>473</v>
    </oc>
    <nc r="C23">
      <v>1050</v>
    </nc>
  </rcc>
  <rcc rId="568" sId="7">
    <oc r="C29">
      <f>189+7+1</f>
    </oc>
    <nc r="C29">
      <f>189+8+1</f>
    </nc>
  </rcc>
  <rcc rId="569" sId="7" numFmtId="4">
    <oc r="C30">
      <v>205241</v>
    </oc>
    <nc r="C30">
      <v>205005</v>
    </nc>
  </rcc>
  <rcc rId="570" sId="7" numFmtId="4">
    <oc r="D29">
      <v>197</v>
    </oc>
    <nc r="D29">
      <v>198</v>
    </nc>
  </rcc>
  <rcc rId="571" sId="7" numFmtId="4">
    <oc r="D30">
      <v>205241</v>
    </oc>
    <nc r="D30">
      <v>205005</v>
    </nc>
  </rcc>
  <rcc rId="572" sId="7" numFmtId="4">
    <oc r="C31">
      <v>23082</v>
    </oc>
    <nc r="C31">
      <v>22827</v>
    </nc>
  </rcc>
  <rcc rId="573" sId="7" numFmtId="4">
    <oc r="D31">
      <v>23082</v>
    </oc>
    <nc r="D31">
      <v>22827</v>
    </nc>
  </rcc>
  <rcc rId="574" sId="7" numFmtId="4">
    <oc r="C36">
      <v>1582</v>
    </oc>
    <nc r="C36">
      <v>1797</v>
    </nc>
  </rcc>
  <rcc rId="575" sId="7" numFmtId="4">
    <oc r="C37">
      <v>8168</v>
    </oc>
    <nc r="C37">
      <v>8202</v>
    </nc>
  </rcc>
  <rcc rId="576" sId="7">
    <oc r="C39">
      <f>5841+3</f>
    </oc>
    <nc r="C39">
      <f>5841+5</f>
    </nc>
  </rcc>
  <rcc rId="577" sId="7" numFmtId="4">
    <oc r="D36">
      <v>1582</v>
    </oc>
    <nc r="D36">
      <v>1797</v>
    </nc>
  </rcc>
  <rcc rId="578" sId="7" numFmtId="4">
    <oc r="D37">
      <v>8168</v>
    </oc>
    <nc r="D37">
      <v>8202</v>
    </nc>
  </rcc>
  <rcc rId="579" sId="7" numFmtId="4">
    <oc r="D39">
      <v>5844</v>
    </oc>
    <nc r="D39">
      <v>5846</v>
    </nc>
  </rcc>
  <rcc rId="580" sId="7" numFmtId="4">
    <oc r="C44">
      <v>1599</v>
    </oc>
    <nc r="C44">
      <v>1628</v>
    </nc>
  </rcc>
  <rcc rId="581" sId="7" numFmtId="4">
    <oc r="D44">
      <v>1599</v>
    </oc>
    <nc r="D44">
      <v>1628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4" sId="6" numFmtId="4">
    <oc r="F24">
      <v>541</v>
    </oc>
    <nc r="F24">
      <v>465</v>
    </nc>
  </rcc>
  <rcc rId="735" sId="6" numFmtId="4">
    <oc r="L24">
      <v>2726</v>
    </oc>
    <nc r="L24">
      <v>2914</v>
    </nc>
  </rcc>
  <rcc rId="736" sId="6" numFmtId="4">
    <oc r="M24">
      <v>508</v>
    </oc>
    <nc r="M24">
      <v>432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7" sId="6" numFmtId="4">
    <oc r="E26">
      <v>1981</v>
    </oc>
    <nc r="E26">
      <v>2001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8" sId="6">
    <oc r="F26">
      <f>1563+1891+3208</f>
    </oc>
    <nc r="F26">
      <f>1612+1891+3208</f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9" sId="6">
    <oc r="F26">
      <f>1612+1891+3208</f>
    </oc>
    <nc r="F26">
      <f>1612+5099</f>
    </nc>
  </rcc>
  <rcc rId="740" sId="6" numFmtId="4">
    <oc r="E23">
      <v>362</v>
    </oc>
    <nc r="E23">
      <v>449</v>
    </nc>
  </rcc>
  <rcc rId="741" sId="6" numFmtId="4">
    <oc r="L23">
      <v>6804</v>
    </oc>
    <nc r="L23">
      <v>6594</v>
    </nc>
  </rcc>
  <rcc rId="742" sId="6">
    <oc r="M23">
      <f>23780-676</f>
    </oc>
    <nc r="M23">
      <f>25812-676</f>
    </nc>
  </rcc>
  <rcc rId="743" sId="6">
    <oc r="F23">
      <f>24756-3208</f>
    </oc>
    <nc r="F23">
      <f>26994-5099</f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" sId="6" numFmtId="4">
    <oc r="M26">
      <f>1686+676</f>
    </oc>
    <nc r="M26">
      <v>2362</v>
    </nc>
  </rcc>
  <rcc rId="745" sId="6">
    <oc r="M23">
      <f>25812-676</f>
    </oc>
    <nc r="M23">
      <f>25812-2362</f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" sId="2">
    <oc r="C69">
      <f>200115+4890</f>
    </oc>
    <nc r="C69">
      <f>199988+4890</f>
    </nc>
  </rcc>
  <rcc rId="747" sId="2" numFmtId="4">
    <oc r="C70">
      <v>22827</v>
    </oc>
    <nc r="C70">
      <v>22954</v>
    </nc>
  </rcc>
  <rcc rId="748" sId="7" numFmtId="4">
    <oc r="C30">
      <v>205005</v>
    </oc>
    <nc r="C30">
      <v>204878</v>
    </nc>
  </rcc>
  <rcc rId="749" sId="7" numFmtId="4">
    <oc r="C31">
      <v>22827</v>
    </oc>
    <nc r="C31">
      <v>22954</v>
    </nc>
  </rcc>
  <rcc rId="750" sId="7" numFmtId="4">
    <oc r="D30">
      <v>205005</v>
    </oc>
    <nc r="D30">
      <v>204878</v>
    </nc>
  </rcc>
  <rcc rId="751" sId="7" numFmtId="4">
    <oc r="D31">
      <v>22827</v>
    </oc>
    <nc r="D31">
      <v>22954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2" sId="6">
    <oc r="I11">
      <v>2238</v>
    </oc>
    <nc r="I11">
      <f>2238-156</f>
    </nc>
  </rcc>
  <rcc rId="763" sId="6">
    <oc r="H11">
      <f>5193</f>
    </oc>
    <nc r="H11">
      <f>5193+156</f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4" sId="6">
    <oc r="H11">
      <f>5193+156</f>
    </oc>
    <nc r="H11">
      <f>5193-156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" sId="2">
    <oc r="G69">
      <f>6370+11583+6973</f>
    </oc>
    <nc r="G69">
      <f>6370+11583+6973-813</f>
    </nc>
  </rcc>
  <rcc rId="766" sId="2" numFmtId="4">
    <oc r="H69">
      <v>66126</v>
    </oc>
    <nc r="H69">
      <f>66126-932</f>
    </nc>
  </rcc>
  <rcc rId="767" sId="2" numFmtId="4">
    <nc r="G77">
      <v>813</v>
    </nc>
  </rcc>
  <rcc rId="768" sId="2" numFmtId="4">
    <nc r="H77">
      <v>932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" sId="1" numFmtId="19">
    <oc r="B11">
      <v>44617</v>
    </oc>
    <nc r="B11">
      <v>44619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" sId="7" numFmtId="4">
    <oc r="C70">
      <v>7985</v>
    </oc>
    <nc r="C70">
      <v>8472</v>
    </nc>
  </rcc>
  <rcc rId="593" sId="7">
    <oc r="C66">
      <f>46225+7593+7320</f>
    </oc>
    <nc r="C66">
      <f>46211+7635+6783</f>
    </nc>
  </rcc>
  <rcc rId="594" sId="7" numFmtId="4">
    <oc r="C67">
      <v>38590</v>
    </oc>
    <nc r="C67">
      <v>38589</v>
    </nc>
  </rcc>
  <rcc rId="595" sId="7" numFmtId="4">
    <oc r="C89">
      <v>143109</v>
    </oc>
    <nc r="C89">
      <v>142681</v>
    </nc>
  </rcc>
  <rcc rId="596" sId="7" numFmtId="4">
    <oc r="D85">
      <v>9464</v>
    </oc>
    <nc r="D85">
      <v>9467</v>
    </nc>
  </rcc>
  <rcc rId="597" sId="7" numFmtId="4">
    <oc r="C85">
      <v>9464</v>
    </oc>
    <nc r="C85">
      <v>9467</v>
    </nc>
  </rcc>
  <rcc rId="598" sId="7">
    <oc r="C74">
      <f>1723+1019+839+106</f>
    </oc>
    <nc r="C74">
      <f>1723+1019+848+106</f>
    </nc>
  </rcc>
  <rcc rId="599" sId="7" numFmtId="4">
    <oc r="C91">
      <v>14612</v>
    </oc>
    <nc r="C91">
      <v>14682</v>
    </nc>
  </rcc>
  <rcc rId="600" sId="7" numFmtId="4">
    <oc r="C96">
      <v>3199</v>
    </oc>
    <nc r="C96">
      <v>3206</v>
    </nc>
  </rcc>
  <rcc rId="601" sId="7" numFmtId="4">
    <oc r="C93">
      <v>32</v>
    </oc>
    <nc r="C93">
      <v>36</v>
    </nc>
  </rcc>
  <rcc rId="602" sId="7" numFmtId="4">
    <oc r="C94">
      <v>6038</v>
    </oc>
    <nc r="C94">
      <v>6039</v>
    </nc>
  </rcc>
  <rcc rId="603" sId="7">
    <oc r="C95">
      <f>540+405+14</f>
    </oc>
    <nc r="C95">
      <f>540+409+15</f>
    </nc>
  </rcc>
  <rcc rId="604" sId="7" numFmtId="4">
    <oc r="D93">
      <v>32</v>
    </oc>
    <nc r="D93">
      <v>36</v>
    </nc>
  </rcc>
  <rcc rId="605" sId="7" numFmtId="4">
    <oc r="D94">
      <v>6038</v>
    </oc>
    <nc r="D94">
      <v>6039</v>
    </nc>
  </rcc>
  <rcc rId="606" sId="7" numFmtId="4">
    <oc r="D95">
      <v>959</v>
    </oc>
    <nc r="D95">
      <v>964</v>
    </nc>
  </rcc>
  <rcc rId="607" sId="7" numFmtId="4">
    <oc r="D96">
      <v>3199</v>
    </oc>
    <nc r="D96">
      <v>3206</v>
    </nc>
  </rcc>
  <rcc rId="608" sId="7" numFmtId="4">
    <oc r="C97">
      <v>24914</v>
    </oc>
    <nc r="C97">
      <v>24926</v>
    </nc>
  </rcc>
  <rcc rId="609" sId="7" numFmtId="4">
    <oc r="D97">
      <v>24914</v>
    </oc>
    <nc r="D97">
      <v>24926</v>
    </nc>
  </rcc>
  <rcc rId="610" sId="7" numFmtId="4">
    <oc r="D89">
      <v>143109</v>
    </oc>
    <nc r="D89">
      <v>142681</v>
    </nc>
  </rcc>
  <rcc rId="611" sId="7" numFmtId="4">
    <oc r="D91">
      <v>14612</v>
    </oc>
    <nc r="D91">
      <v>14682</v>
    </nc>
  </rcc>
  <rcc rId="612" sId="7" numFmtId="4">
    <oc r="D74">
      <v>3687</v>
    </oc>
    <nc r="D74">
      <v>3696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0" sId="7" numFmtId="4">
    <oc r="C56">
      <v>7619</v>
    </oc>
    <nc r="C56">
      <v>10210</v>
    </nc>
  </rcc>
  <rcc rId="771" sId="7" numFmtId="4">
    <oc r="C57">
      <v>2591</v>
    </oc>
    <nc r="C57"/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2" sId="4" numFmtId="4">
    <oc r="C15">
      <v>-65019</v>
    </oc>
    <nc r="C15">
      <v>-65020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" sId="4" numFmtId="4">
    <oc r="C47">
      <v>37718</v>
    </oc>
    <nc r="C47">
      <v>37717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4" sId="7" numFmtId="4">
    <oc r="C97">
      <v>24926</v>
    </oc>
    <nc r="C97">
      <v>24113</v>
    </nc>
  </rcc>
  <rcc rId="795" sId="7" numFmtId="4">
    <oc r="D97">
      <v>24926</v>
    </oc>
    <nc r="D97">
      <v>24113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" sId="2" numFmtId="4">
    <oc r="C24">
      <v>54421</v>
    </oc>
    <nc r="C24">
      <v>34016</v>
    </nc>
  </rcc>
  <rcc rId="797" sId="2" numFmtId="4">
    <nc r="C25">
      <v>17558</v>
    </nc>
  </rcc>
  <rcc rId="798" sId="2" numFmtId="4">
    <nc r="C27">
      <v>2847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 numFmtId="19">
    <oc r="B11">
      <v>44619</v>
    </oc>
    <nc r="B11">
      <v>44678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0" sId="1" numFmtId="19">
    <oc r="B9">
      <v>44197</v>
    </oc>
    <nc r="B9">
      <v>44562</v>
    </nc>
  </rcc>
  <rcc rId="831" sId="1" numFmtId="19">
    <oc r="B10">
      <v>44561</v>
    </oc>
    <nc r="B10">
      <v>44651</v>
    </nc>
  </rcc>
  <rcc rId="832" sId="1" numFmtId="19">
    <oc r="B11">
      <v>44678</v>
    </oc>
    <nc r="B11">
      <v>44708</v>
    </nc>
  </rcc>
  <rcc rId="833" sId="2" numFmtId="4">
    <oc r="D12">
      <v>60096</v>
    </oc>
    <nc r="D12">
      <v>60904</v>
    </nc>
  </rcc>
  <rcc rId="834" sId="2" numFmtId="4">
    <oc r="D13">
      <v>191427</v>
    </oc>
    <nc r="D13">
      <v>166135</v>
    </nc>
  </rcc>
  <rcc rId="835" sId="2" numFmtId="4">
    <oc r="D14">
      <v>98882</v>
    </oc>
    <nc r="D14">
      <v>97182</v>
    </nc>
  </rcc>
  <rcc rId="836" sId="2" numFmtId="4">
    <oc r="D15">
      <v>13717</v>
    </oc>
    <nc r="D15">
      <v>12241</v>
    </nc>
  </rcc>
  <rcc rId="837" sId="2" numFmtId="4">
    <oc r="D16">
      <v>11156</v>
    </oc>
    <nc r="D16">
      <v>10218</v>
    </nc>
  </rcc>
  <rcc rId="838" sId="2" numFmtId="4">
    <oc r="D17">
      <v>9779</v>
    </oc>
    <nc r="D17">
      <v>10181</v>
    </nc>
  </rcc>
  <rcc rId="839" sId="2" numFmtId="4">
    <oc r="D18">
      <v>10209</v>
    </oc>
    <nc r="D18">
      <v>4798</v>
    </nc>
  </rcc>
  <rcc rId="840" sId="2" numFmtId="4">
    <oc r="D19">
      <v>291</v>
    </oc>
    <nc r="D19">
      <v>273</v>
    </nc>
  </rcc>
  <rcc rId="841" sId="2" numFmtId="4">
    <oc r="D21">
      <v>11691</v>
    </oc>
    <nc r="D21">
      <v>9446</v>
    </nc>
  </rcc>
  <rcc rId="842" sId="2" numFmtId="4">
    <oc r="D22">
      <v>315</v>
    </oc>
    <nc r="D22">
      <v>461</v>
    </nc>
  </rcc>
  <rcc rId="843" sId="2" numFmtId="4">
    <oc r="D24">
      <v>38606</v>
    </oc>
    <nc r="D24">
      <v>34016</v>
    </nc>
  </rcc>
  <rcc rId="844" sId="2" numFmtId="4">
    <oc r="D25">
      <v>14471</v>
    </oc>
    <nc r="D25">
      <v>17558</v>
    </nc>
  </rcc>
  <rcc rId="845" sId="2" numFmtId="4">
    <oc r="D27">
      <v>5195</v>
    </oc>
    <nc r="D27">
      <v>2847</v>
    </nc>
  </rcc>
  <rcc rId="846" sId="2" numFmtId="4">
    <oc r="D31">
      <v>13269</v>
    </oc>
    <nc r="D31">
      <v>13420</v>
    </nc>
  </rcc>
  <rcc rId="847" sId="2" numFmtId="4">
    <nc r="D37">
      <v>1983</v>
    </nc>
  </rcc>
  <rcc rId="848" sId="2" numFmtId="4">
    <oc r="D38">
      <v>62811</v>
    </oc>
    <nc r="D38">
      <v>125337</v>
    </nc>
  </rcc>
  <rcc rId="849" sId="2" numFmtId="4">
    <oc r="D39">
      <v>14294</v>
    </oc>
    <nc r="D39">
      <v>5778</v>
    </nc>
  </rcc>
  <rcc rId="850" sId="2" numFmtId="4">
    <oc r="D48">
      <v>59726</v>
    </oc>
    <nc r="D48">
      <v>49696</v>
    </nc>
  </rcc>
  <rcc rId="851" sId="2" numFmtId="4">
    <oc r="D49">
      <v>7608</v>
    </oc>
    <nc r="D49">
      <v>6308</v>
    </nc>
  </rcc>
  <rcc rId="852" sId="2" numFmtId="4">
    <oc r="D51">
      <v>4343</v>
    </oc>
    <nc r="D51">
      <v>3914</v>
    </nc>
  </rcc>
  <rcc rId="853" sId="2" numFmtId="4">
    <oc r="D55">
      <v>2049</v>
    </oc>
    <nc r="D55">
      <v>1050</v>
    </nc>
  </rcc>
  <rcc rId="854" sId="2" numFmtId="4">
    <oc r="D59">
      <v>36464</v>
    </oc>
    <nc r="D59">
      <v>35710</v>
    </nc>
  </rcc>
  <rcc rId="855" sId="2" numFmtId="4">
    <oc r="D60">
      <v>30757</v>
    </oc>
    <nc r="D60">
      <v>23632</v>
    </nc>
  </rcc>
  <rcc rId="856" sId="2" numFmtId="4">
    <oc r="D61">
      <v>212663</v>
    </oc>
    <nc r="D61">
      <v>188186</v>
    </nc>
  </rcc>
  <rcc rId="857" sId="2" numFmtId="4">
    <oc r="D62">
      <v>7685</v>
    </oc>
    <nc r="D62">
      <v>8421</v>
    </nc>
  </rcc>
  <rcc rId="858" sId="2" numFmtId="4">
    <oc r="D68">
      <v>6682</v>
    </oc>
    <nc r="D68">
      <v>14479</v>
    </nc>
  </rcc>
  <rcc rId="859" sId="2" numFmtId="4">
    <oc r="D69">
      <v>235529</v>
    </oc>
    <nc r="D69">
      <v>204878</v>
    </nc>
  </rcc>
  <rcc rId="860" sId="2" numFmtId="4">
    <oc r="D70">
      <v>15178</v>
    </oc>
    <nc r="D70">
      <v>22954</v>
    </nc>
  </rcc>
  <rcc rId="861" sId="2" numFmtId="4">
    <oc r="D71">
      <v>4017</v>
    </oc>
    <nc r="D71">
      <v>1804</v>
    </nc>
  </rcc>
  <rcc rId="862" sId="2" numFmtId="4">
    <oc r="D72">
      <v>15363</v>
    </oc>
    <nc r="D72">
      <v>13970</v>
    </nc>
  </rcc>
  <rcc rId="863" sId="2" numFmtId="4">
    <oc r="D73">
      <v>17333</v>
    </oc>
    <nc r="D73">
      <v>15845</v>
    </nc>
  </rcc>
  <rcc rId="864" sId="2" numFmtId="4">
    <oc r="D75">
      <v>3388</v>
    </oc>
    <nc r="D75">
      <v>1628</v>
    </nc>
  </rcc>
  <rcc rId="865" sId="2" numFmtId="4">
    <oc r="D88">
      <v>2268</v>
    </oc>
    <nc r="D88">
      <v>2149</v>
    </nc>
  </rcc>
  <rcc rId="866" sId="2" numFmtId="4">
    <oc r="D89">
      <v>22871</v>
    </oc>
    <nc r="D89">
      <v>35568</v>
    </nc>
  </rcc>
  <rcc rId="867" sId="2" numFmtId="4">
    <oc r="D90">
      <v>154</v>
    </oc>
    <nc r="D90">
      <v>5</v>
    </nc>
  </rcc>
  <rcc rId="868" sId="2" numFmtId="4">
    <oc r="D93">
      <v>1825</v>
    </oc>
    <nc r="D93">
      <v>2003</v>
    </nc>
  </rcc>
  <rcc rId="869" sId="2" numFmtId="4">
    <oc r="H15">
      <v>-33656</v>
    </oc>
    <nc r="H15">
      <v>-50284</v>
    </nc>
  </rcc>
  <rcc rId="870" sId="2" numFmtId="4">
    <oc r="H21">
      <v>28022</v>
    </oc>
    <nc r="H21">
      <v>39114</v>
    </nc>
  </rcc>
  <rcc rId="871" sId="2" numFmtId="4">
    <oc r="H23">
      <v>63335</v>
    </oc>
    <nc r="H23">
      <v>66201</v>
    </nc>
  </rcc>
  <rcc rId="872" sId="2" numFmtId="4">
    <nc r="H25">
      <v>12512</v>
    </nc>
  </rcc>
  <rcc rId="873" sId="2" numFmtId="4">
    <oc r="H29">
      <v>330965</v>
    </oc>
    <nc r="H29">
      <v>355138</v>
    </nc>
  </rcc>
  <rcc rId="874" sId="2" numFmtId="4">
    <oc r="H32">
      <v>29805</v>
    </oc>
    <nc r="H32">
      <v>89496</v>
    </nc>
  </rcc>
  <rcc rId="875" sId="2" numFmtId="4">
    <oc r="H40">
      <v>13326</v>
    </oc>
    <nc r="H40">
      <v>11893</v>
    </nc>
  </rcc>
  <rcc rId="876" sId="2" numFmtId="4">
    <oc r="H44">
      <v>8783</v>
    </oc>
    <nc r="H44">
      <v>10210</v>
    </nc>
  </rcc>
  <rcc rId="877" sId="2" numFmtId="4">
    <oc r="H45">
      <v>34567</v>
    </oc>
    <nc r="H45">
      <v>42907</v>
    </nc>
  </rcc>
  <rcc rId="878" sId="2" numFmtId="4">
    <oc r="H49">
      <v>62018</v>
    </oc>
    <nc r="H49">
      <v>46211</v>
    </nc>
  </rcc>
  <rcc rId="879" sId="2" numFmtId="4">
    <oc r="H52">
      <v>7339</v>
    </oc>
    <nc r="H52">
      <v>7635</v>
    </nc>
  </rcc>
  <rcc rId="880" sId="2" numFmtId="4">
    <oc r="H54">
      <v>7937</v>
    </oc>
    <nc r="H54">
      <v>8472</v>
    </nc>
  </rcc>
  <rcc rId="881" sId="2" numFmtId="4">
    <oc r="H55">
      <v>10422</v>
    </oc>
    <nc r="H55">
      <v>6783</v>
    </nc>
  </rcc>
  <rcc rId="882" sId="2" numFmtId="4">
    <oc r="H59">
      <v>255281</v>
    </oc>
    <nc r="H59">
      <v>217392</v>
    </nc>
  </rcc>
  <rcc rId="883" sId="2" numFmtId="4">
    <oc r="H60">
      <v>31172</v>
    </oc>
    <nc r="H60">
      <v>9467</v>
    </nc>
  </rcc>
  <rcc rId="884" sId="2" numFmtId="4">
    <oc r="H62">
      <v>2367</v>
    </oc>
    <nc r="H62">
      <v>3700</v>
    </nc>
  </rcc>
  <rcc rId="885" sId="2" numFmtId="4">
    <oc r="H64">
      <v>163664</v>
    </oc>
    <nc r="H64">
      <v>142681</v>
    </nc>
  </rcc>
  <rcc rId="886" sId="2" numFmtId="4">
    <oc r="H65">
      <v>1255</v>
    </oc>
    <nc r="H65">
      <v>799</v>
    </nc>
  </rcc>
  <rcc rId="887" sId="2" numFmtId="4">
    <oc r="H66">
      <v>14716</v>
    </oc>
    <nc r="H66">
      <v>14682</v>
    </nc>
  </rcc>
  <rcc rId="888" sId="2" numFmtId="4">
    <oc r="H67">
      <v>3280</v>
    </oc>
    <nc r="H67">
      <v>3206</v>
    </nc>
  </rcc>
  <rcc rId="889" sId="2" numFmtId="4">
    <oc r="H68">
      <v>6590</v>
    </oc>
    <nc r="H68">
      <v>7039</v>
    </nc>
  </rcc>
  <rcc rId="890" sId="2" numFmtId="4">
    <oc r="H69">
      <f>66126-932</f>
    </oc>
    <nc r="H69">
      <v>24113</v>
    </nc>
  </rcc>
  <rcc rId="891" sId="2" numFmtId="4">
    <oc r="H77">
      <v>932</v>
    </oc>
    <nc r="H77">
      <v>813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" sId="9">
    <oc r="F13">
      <f>133509-711</f>
    </oc>
    <nc r="F13">
      <f>133736-711</f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2" sId="2" numFmtId="4">
    <oc r="C12">
      <v>60904</v>
    </oc>
    <nc r="C12"/>
  </rcc>
  <rcc rId="893" sId="2" numFmtId="4">
    <oc r="C14">
      <v>97182</v>
    </oc>
    <nc r="C14"/>
  </rcc>
  <rcc rId="894" sId="2" numFmtId="4">
    <oc r="C15">
      <v>12241</v>
    </oc>
    <nc r="C15"/>
  </rcc>
  <rcc rId="895" sId="2" numFmtId="4">
    <oc r="C16">
      <v>10218</v>
    </oc>
    <nc r="C16"/>
  </rcc>
  <rcc rId="896" sId="2" numFmtId="4">
    <oc r="C17">
      <v>10181</v>
    </oc>
    <nc r="C17"/>
  </rcc>
  <rcc rId="897" sId="2" numFmtId="4">
    <oc r="C18">
      <v>4798</v>
    </oc>
    <nc r="C18"/>
  </rcc>
  <rcc rId="898" sId="2" numFmtId="4">
    <oc r="C19">
      <v>273</v>
    </oc>
    <nc r="C19"/>
  </rcc>
  <rcc rId="899" sId="2" numFmtId="4">
    <oc r="C25">
      <v>17558</v>
    </oc>
    <nc r="C25"/>
  </rcc>
  <rcc rId="900" sId="2" numFmtId="4">
    <oc r="C27">
      <v>2847</v>
    </oc>
    <nc r="C27"/>
  </rcc>
  <rcc rId="901" sId="2" numFmtId="4">
    <oc r="C22">
      <v>461</v>
    </oc>
    <nc r="C22"/>
  </rcc>
  <rcc rId="902" sId="2" numFmtId="4">
    <oc r="C13">
      <v>166135</v>
    </oc>
    <nc r="C13">
      <v>359557</v>
    </nc>
  </rcc>
  <rcc rId="903" sId="2" numFmtId="4">
    <oc r="C24">
      <v>34016</v>
    </oc>
    <nc r="C24">
      <v>52436</v>
    </nc>
  </rcc>
  <rcc rId="904" sId="2" numFmtId="4">
    <oc r="C31">
      <v>13420</v>
    </oc>
    <nc r="C31">
      <v>13337</v>
    </nc>
  </rcc>
  <rcc rId="905" sId="2" numFmtId="4">
    <oc r="C39">
      <v>5778</v>
    </oc>
    <nc r="C39">
      <v>5848</v>
    </nc>
  </rcc>
  <rcc rId="906" sId="2" numFmtId="4">
    <oc r="C37">
      <v>1983</v>
    </oc>
    <nc r="C37">
      <v>2060</v>
    </nc>
  </rcc>
  <rcc rId="907" sId="2" numFmtId="4">
    <oc r="C38">
      <v>125337</v>
    </oc>
    <nc r="C38">
      <v>128755</v>
    </nc>
  </rcc>
  <rcc rId="908" sId="2" numFmtId="4">
    <oc r="C48">
      <v>49696</v>
    </oc>
    <nc r="C48">
      <v>51563</v>
    </nc>
  </rcc>
  <rcc rId="909" sId="2" numFmtId="4">
    <oc r="C49">
      <v>6308</v>
    </oc>
    <nc r="C49">
      <v>6352</v>
    </nc>
  </rcc>
  <rcc rId="910" sId="2">
    <oc r="C51">
      <f>10222-6308</f>
    </oc>
    <nc r="C51">
      <f>3308+589+47</f>
    </nc>
  </rcc>
  <rcc rId="911" sId="2" numFmtId="4">
    <oc r="C55">
      <v>1050</v>
    </oc>
    <nc r="C55">
      <v>983</v>
    </nc>
  </rcc>
  <rcc rId="912" sId="2" numFmtId="4">
    <oc r="C59">
      <v>35710</v>
    </oc>
    <nc r="C59">
      <v>36286</v>
    </nc>
  </rcc>
  <rcc rId="913" sId="2">
    <oc r="C60">
      <f>17608+6024</f>
    </oc>
    <nc r="C60">
      <f>28973+4032</f>
    </nc>
  </rcc>
  <rcc rId="914" sId="2" numFmtId="4">
    <oc r="C61">
      <v>188186</v>
    </oc>
    <nc r="C61">
      <v>181778</v>
    </nc>
  </rcc>
  <rcc rId="915" sId="2" numFmtId="4">
    <oc r="C62">
      <v>8421</v>
    </oc>
    <nc r="C62">
      <v>5198</v>
    </nc>
  </rcc>
  <rcc rId="916" sId="2" numFmtId="4">
    <oc r="C68">
      <v>14479</v>
    </oc>
    <nc r="C68">
      <v>14820</v>
    </nc>
  </rcc>
  <rcc rId="917" sId="2">
    <oc r="C69">
      <f>199988+4890</f>
    </oc>
    <nc r="C69">
      <f>211903+4890</f>
    </nc>
  </rcc>
  <rcc rId="918" sId="2" numFmtId="4">
    <oc r="C70">
      <v>22954</v>
    </oc>
    <nc r="C70">
      <v>25568</v>
    </nc>
  </rcc>
  <rcc rId="919" sId="2" numFmtId="4">
    <oc r="C71">
      <v>1804</v>
    </oc>
    <nc r="C71">
      <v>1810</v>
    </nc>
  </rcc>
  <rcc rId="920" sId="2" numFmtId="4">
    <oc r="C72">
      <v>13970</v>
    </oc>
    <nc r="C72">
      <v>13853</v>
    </nc>
  </rcc>
  <rcc rId="921" sId="2" numFmtId="4">
    <oc r="C73">
      <v>15845</v>
    </oc>
    <nc r="C73">
      <v>11595</v>
    </nc>
  </rcc>
  <rcc rId="922" sId="2">
    <oc r="C75">
      <f>417+318+200+693</f>
    </oc>
    <nc r="C75">
      <f>294+217+174+791</f>
    </nc>
  </rcc>
  <rcc rId="923" sId="2" numFmtId="4">
    <oc r="C93">
      <v>2003</v>
    </oc>
    <nc r="C93">
      <v>1820</v>
    </nc>
  </rcc>
  <rcc rId="924" sId="2" numFmtId="4">
    <oc r="C88">
      <v>2149</v>
    </oc>
    <nc r="C88">
      <v>2908</v>
    </nc>
  </rcc>
  <rcc rId="925" sId="2">
    <oc r="C89">
      <f>30385+5143+40</f>
    </oc>
    <nc r="C89">
      <f>16888+590+74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6" sId="2">
    <oc r="G21">
      <f>36788+1644+682</f>
    </oc>
    <nc r="G21">
      <f>36638+1766-1575</f>
    </nc>
  </rcc>
  <rcc rId="937" sId="2" numFmtId="4">
    <oc r="G25">
      <v>12512</v>
    </oc>
    <nc r="G25">
      <v>12510</v>
    </nc>
  </rcc>
  <rcc rId="938" sId="2" numFmtId="4">
    <oc r="G32">
      <v>89496</v>
    </oc>
    <nc r="G32">
      <v>20681</v>
    </nc>
  </rcc>
  <rcc rId="939" sId="2" numFmtId="4">
    <oc r="G40">
      <v>11893</v>
    </oc>
    <nc r="G40">
      <v>13762</v>
    </nc>
  </rcc>
  <rcc rId="940" sId="2" numFmtId="4">
    <oc r="G44">
      <v>10210</v>
    </oc>
    <nc r="G44">
      <v>11320</v>
    </nc>
  </rcc>
  <rcc rId="941" sId="2" numFmtId="4">
    <oc r="G45">
      <v>42907</v>
    </oc>
    <nc r="G45">
      <v>47599</v>
    </nc>
  </rcc>
  <rcc rId="942" sId="2">
    <oc r="G49">
      <f>38589+7622</f>
    </oc>
    <nc r="G49">
      <f>37961+8061</f>
    </nc>
  </rcc>
  <rcc rId="943" sId="2" numFmtId="4">
    <oc r="G52">
      <v>7635</v>
    </oc>
    <nc r="G52">
      <v>7626</v>
    </nc>
  </rcc>
  <rcc rId="944" sId="2" numFmtId="4">
    <oc r="G54">
      <v>8472</v>
    </oc>
    <nc r="G54">
      <v>7915</v>
    </nc>
  </rcc>
  <rcc rId="945" sId="2" numFmtId="4">
    <oc r="G55">
      <v>6783</v>
    </oc>
    <nc r="G55">
      <v>6670</v>
    </nc>
  </rcc>
  <rcc rId="946" sId="2" numFmtId="4">
    <oc r="G59">
      <v>217392</v>
    </oc>
    <nc r="G59">
      <v>182691</v>
    </nc>
  </rcc>
  <rcc rId="947" sId="2" numFmtId="4">
    <oc r="G60">
      <v>9467</v>
    </oc>
    <nc r="G60">
      <v>9547</v>
    </nc>
  </rcc>
  <rcc rId="948" sId="2" numFmtId="4">
    <oc r="G62">
      <v>3700</v>
    </oc>
    <nc r="G62">
      <v>5111</v>
    </nc>
  </rcc>
  <rcc rId="949" sId="2" numFmtId="4">
    <oc r="G68">
      <v>7039</v>
    </oc>
    <nc r="G68">
      <v>8962</v>
    </nc>
  </rcc>
  <rcc rId="950" sId="2">
    <oc r="G69">
      <f>6370+11583+6973-813</f>
    </oc>
    <nc r="G69">
      <f>7886+1681+11666-739</f>
    </nc>
  </rcc>
  <rcc rId="951" sId="2" numFmtId="4">
    <oc r="G77">
      <v>813</v>
    </oc>
    <nc r="G77">
      <v>739</v>
    </nc>
  </rcc>
  <rcc rId="952" sId="2" numFmtId="4">
    <oc r="G67">
      <v>3206</v>
    </oc>
    <nc r="G67">
      <v>3191</v>
    </nc>
  </rcc>
  <rcc rId="953" sId="2" numFmtId="4">
    <oc r="G66">
      <v>14682</v>
    </oc>
    <nc r="G66">
      <v>14846</v>
    </nc>
  </rcc>
  <rcc rId="954" sId="2" numFmtId="4">
    <oc r="G65">
      <v>799</v>
    </oc>
    <nc r="G65">
      <v>392</v>
    </nc>
  </rcc>
  <rcc rId="955" sId="2" numFmtId="4">
    <oc r="G64">
      <v>142681</v>
    </oc>
    <nc r="G64">
      <v>146205</v>
    </nc>
  </rcc>
  <rcc rId="956" sId="2">
    <oc r="G29">
      <f>444634-89496</f>
    </oc>
    <nc r="G29">
      <f>465234-20681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" sId="2">
    <oc r="G29">
      <f>465234-20681</f>
    </oc>
    <nc r="G29">
      <f>465602-20681</f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8" sId="3" numFmtId="4">
    <oc r="D12">
      <v>89324</v>
    </oc>
    <nc r="D12">
      <v>19355</v>
    </nc>
  </rcc>
  <rcc rId="959" sId="3" numFmtId="4">
    <oc r="D13">
      <v>80869</v>
    </oc>
    <nc r="D13">
      <v>16198</v>
    </nc>
  </rcc>
  <rcc rId="960" sId="3" numFmtId="4">
    <oc r="D14">
      <v>46633</v>
    </oc>
    <nc r="D14">
      <v>13480</v>
    </nc>
  </rcc>
  <rcc rId="961" sId="3" numFmtId="4">
    <oc r="D15">
      <v>113352</v>
    </oc>
    <nc r="D15">
      <v>31089</v>
    </nc>
  </rcc>
  <rcc rId="962" sId="3" numFmtId="4">
    <oc r="D16">
      <v>20195</v>
    </oc>
    <nc r="D16">
      <v>5566</v>
    </nc>
  </rcc>
  <rcc rId="963" sId="3" numFmtId="4">
    <oc r="D17">
      <v>1041687</v>
    </oc>
    <nc r="D17">
      <v>279855</v>
    </nc>
  </rcc>
  <rcc rId="964" sId="3" numFmtId="4">
    <oc r="D18">
      <v>-2124</v>
    </oc>
    <nc r="D18">
      <v>-4094</v>
    </nc>
  </rcc>
  <rcc rId="965" sId="3" numFmtId="4">
    <oc r="D19">
      <v>21760</v>
    </oc>
    <nc r="D19">
      <v>1427</v>
    </nc>
  </rcc>
  <rcc rId="966" sId="3" numFmtId="4">
    <oc r="D20">
      <v>10549</v>
    </oc>
    <nc r="D20">
      <v>31</v>
    </nc>
  </rcc>
  <rcc rId="967" sId="3" numFmtId="4">
    <oc r="D25">
      <v>12408</v>
    </oc>
    <nc r="D25">
      <v>3061</v>
    </nc>
  </rcc>
  <rcc rId="968" sId="3" numFmtId="4">
    <oc r="D27">
      <v>5763</v>
    </oc>
    <nc r="D27"/>
  </rcc>
  <rcc rId="969" sId="3" numFmtId="4">
    <oc r="D28">
      <v>1251</v>
    </oc>
    <nc r="D28">
      <v>227</v>
    </nc>
  </rcc>
  <rcc rId="970" sId="3" numFmtId="4">
    <oc r="D34">
      <v>5976</v>
    </oc>
    <nc r="D34">
      <v>1446</v>
    </nc>
  </rcc>
  <rcc rId="971" sId="3" numFmtId="4">
    <oc r="D39">
      <v>6162</v>
    </oc>
    <nc r="D39">
      <v>2207</v>
    </nc>
  </rcc>
  <rcc rId="972" sId="3" numFmtId="4">
    <nc r="D43">
      <v>1312</v>
    </nc>
  </rcc>
  <rcc rId="973" sId="3" numFmtId="4">
    <oc r="H12">
      <v>269956</v>
    </oc>
    <nc r="H12">
      <v>57395</v>
    </nc>
  </rcc>
  <rcc rId="974" sId="3" numFmtId="4">
    <oc r="H13">
      <v>1168870</v>
    </oc>
    <nc r="H13">
      <v>321462</v>
    </nc>
  </rcc>
  <rcc rId="975" sId="3" numFmtId="4">
    <oc r="H14">
      <v>7078</v>
    </oc>
    <nc r="H14">
      <v>2400</v>
    </nc>
  </rcc>
  <rcc rId="976" sId="3" numFmtId="4">
    <oc r="H15">
      <v>4301</v>
    </oc>
    <nc r="H15">
      <v>1308</v>
    </nc>
  </rcc>
  <rcc rId="977" sId="3" numFmtId="4">
    <oc r="H18">
      <v>1298</v>
    </oc>
    <nc r="H18">
      <v>235</v>
    </nc>
  </rcc>
  <rcc rId="978" sId="3" numFmtId="4">
    <oc r="H22">
      <v>4334</v>
    </oc>
    <nc r="H22">
      <v>1447</v>
    </nc>
  </rcc>
  <rcc rId="979" sId="3" numFmtId="4">
    <oc r="H23">
      <v>510</v>
    </oc>
    <nc r="H23"/>
  </rcc>
  <rcc rId="980" sId="3" numFmtId="4">
    <oc r="H24">
      <v>93</v>
    </oc>
    <nc r="H24">
      <v>45</v>
    </nc>
  </rcc>
  <rcc rId="981" sId="3" numFmtId="4">
    <nc r="H25">
      <v>1591</v>
    </nc>
  </rcc>
  <rcc rId="982" sId="3" numFmtId="4">
    <oc r="H26">
      <v>144</v>
    </oc>
    <nc r="H26">
      <v>490</v>
    </nc>
  </rcc>
  <rcc rId="983" sId="3" numFmtId="4">
    <oc r="H43">
      <v>4525</v>
    </oc>
    <nc r="H43"/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4" sId="3" numFmtId="4">
    <oc r="C12">
      <v>83122</v>
    </oc>
    <nc r="C12">
      <v>23596</v>
    </nc>
  </rcc>
  <rcc rId="995" sId="3" numFmtId="4">
    <oc r="C13">
      <v>75927</v>
    </oc>
    <nc r="C13">
      <v>14766</v>
    </nc>
  </rcc>
  <rcc rId="996" sId="3" numFmtId="4">
    <oc r="C14">
      <v>53187</v>
    </oc>
    <nc r="C14">
      <v>12811</v>
    </nc>
  </rcc>
  <rcc rId="997" sId="3" numFmtId="4">
    <oc r="C17">
      <v>1166508</v>
    </oc>
    <nc r="C17">
      <v>295144</v>
    </nc>
  </rcc>
  <rcc rId="998" sId="3" numFmtId="4">
    <oc r="C18">
      <v>8721</v>
    </oc>
    <nc r="C18">
      <v>-4591</v>
    </nc>
  </rcc>
  <rcc rId="999" sId="3" numFmtId="4">
    <oc r="C19">
      <f>16095+10476</f>
    </oc>
    <nc r="C19">
      <v>1372</v>
    </nc>
  </rcc>
  <rcc rId="1000" sId="3">
    <oc r="C15">
      <f>119856+4192+1764+1308+946</f>
    </oc>
    <nc r="C15">
      <f>27320+1166+840+564</f>
    </nc>
  </rcc>
  <rcc rId="1001" sId="3">
    <oc r="C16">
      <f>21686+309</f>
    </oc>
    <nc r="C16">
      <f>4720+164</f>
    </nc>
  </rcc>
  <rcc rId="1002" sId="3" numFmtId="4">
    <oc r="C20">
      <f>10476+2037+1891</f>
    </oc>
    <nc r="C20">
      <v>413</v>
    </nc>
  </rcc>
  <rcc rId="1003" sId="3">
    <oc r="C25">
      <f>7944+1751+714+382</f>
    </oc>
    <nc r="C25">
      <f>1041+284+87+23</f>
    </nc>
  </rcc>
  <rcc rId="1004" sId="3" numFmtId="4">
    <nc r="C27">
      <v>199</v>
    </nc>
  </rcc>
  <rcc rId="1005" sId="3" numFmtId="4">
    <oc r="C28">
      <f>960+45+1</f>
    </oc>
    <nc r="C28">
      <v>263</v>
    </nc>
  </rcc>
  <rcc rId="1006" sId="3" numFmtId="4">
    <oc r="C34">
      <v>12092</v>
    </oc>
    <nc r="C34">
      <v>4026</v>
    </nc>
  </rcc>
  <rcc rId="1007" sId="3" numFmtId="4">
    <oc r="C39">
      <v>5871</v>
    </oc>
    <nc r="C39">
      <v>2468</v>
    </nc>
  </rcc>
  <rcc rId="1008" sId="3" numFmtId="4">
    <oc r="C43">
      <v>2207</v>
    </oc>
    <nc r="C43">
      <v>1879</v>
    </nc>
  </rcc>
  <rcc rId="1009" sId="3" numFmtId="4">
    <oc r="G23">
      <v>271</v>
    </oc>
    <nc r="G23"/>
  </rcc>
  <rcc rId="1010" sId="3" numFmtId="4">
    <oc r="G24">
      <v>152</v>
    </oc>
    <nc r="G24"/>
  </rcc>
  <rcc rId="1011" sId="3" numFmtId="4">
    <oc r="G13">
      <v>1328372</v>
    </oc>
    <nc r="G13">
      <v>338360</v>
    </nc>
  </rcc>
  <rcc rId="1012" sId="3" numFmtId="4">
    <oc r="G12">
      <v>274938</v>
    </oc>
    <nc r="G12">
      <v>59210</v>
    </nc>
  </rcc>
  <rcc rId="1013" sId="3">
    <oc r="G14">
      <f>6474+1260+214</f>
    </oc>
    <nc r="G14">
      <f>1429+174</f>
    </nc>
  </rcc>
  <rcc rId="1014" sId="3">
    <oc r="G15">
      <f>751+538+406+213+134+84+73+2201</f>
    </oc>
    <nc r="G15">
      <f>+-117+101+28+22+20+12+242</f>
    </nc>
  </rcc>
  <rcc rId="1015" sId="3" numFmtId="4">
    <oc r="G18">
      <v>1482</v>
    </oc>
    <nc r="G18">
      <v>218</v>
    </nc>
  </rcc>
  <rcc rId="1016" sId="3">
    <oc r="G22">
      <f>2248+1916+190+35</f>
    </oc>
    <nc r="G22">
      <f>531+377+48+42</f>
    </nc>
  </rcc>
  <rcc rId="1017" sId="3" numFmtId="4">
    <oc r="G25">
      <f>1489+266</f>
    </oc>
    <nc r="G25">
      <v>70</v>
    </nc>
  </rcc>
  <rcc rId="1018" sId="3" numFmtId="4">
    <oc r="G26">
      <f>46+19+37604</f>
    </oc>
    <nc r="G26">
      <v>4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9" sId="5" numFmtId="4">
    <oc r="F21">
      <v>2866</v>
    </oc>
    <nc r="F21"/>
  </rcc>
  <rcc rId="1020" sId="5" numFmtId="4">
    <oc r="E24">
      <v>9485</v>
    </oc>
    <nc r="E24"/>
  </rcc>
  <rcc rId="1021" sId="5" numFmtId="4">
    <oc r="E28">
      <v>355</v>
    </oc>
    <nc r="E28"/>
  </rcc>
  <rcc rId="1022" sId="5" numFmtId="4">
    <oc r="C30">
      <v>-16628</v>
    </oc>
    <nc r="C30"/>
  </rcc>
  <rcc rId="1023" sId="5" numFmtId="4">
    <oc r="I21">
      <v>-2866</v>
    </oc>
    <nc r="I21"/>
  </rcc>
  <rcc rId="1024" sId="5" numFmtId="4">
    <oc r="M18">
      <v>2207</v>
    </oc>
    <nc r="M18">
      <v>1879</v>
    </nc>
  </rcc>
  <rcc rId="1025" sId="5" numFmtId="4">
    <oc r="M30">
      <f>1196-4357-479</f>
    </oc>
    <nc r="M30">
      <v>-10</v>
    </nc>
  </rcc>
  <rcc rId="1026" sId="5">
    <oc r="I30">
      <f>-4148+1405-23</f>
    </oc>
    <nc r="I30">
      <f>184+103</f>
    </nc>
  </rcc>
  <rcc rId="1027" sId="5" numFmtId="4">
    <nc r="E27">
      <v>156</v>
    </nc>
  </rcc>
  <rcc rId="1028" sId="5">
    <oc r="E30">
      <f>-1122-283+3367</f>
    </oc>
    <nc r="E30">
      <f>-150-34-2257</f>
    </nc>
  </rcc>
  <rcc rId="1029" sId="5" numFmtId="4">
    <oc r="H30">
      <v>12512</v>
    </oc>
    <nc r="H30">
      <v>-2</v>
    </nc>
  </rcc>
  <rcc rId="1030" sId="5" numFmtId="4">
    <nc r="H13">
      <v>12512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1" sId="7" numFmtId="4">
    <oc r="C14">
      <v>49695</v>
    </oc>
    <nc r="C14">
      <v>51563</v>
    </nc>
  </rcc>
  <rcc rId="1052" sId="7" numFmtId="4">
    <oc r="C16">
      <v>1</v>
    </oc>
    <nc r="C16"/>
  </rcc>
  <rcc rId="1053" sId="7" numFmtId="4">
    <oc r="C17">
      <v>6308</v>
    </oc>
    <nc r="C17">
      <v>6352</v>
    </nc>
  </rcc>
  <rcc rId="1054" sId="7">
    <oc r="C20">
      <f>3238+623+53</f>
    </oc>
    <nc r="C20">
      <f>3308+589+47</f>
    </nc>
  </rcc>
  <rcc rId="1055" sId="7" numFmtId="4">
    <oc r="C23">
      <v>1050</v>
    </oc>
    <nc r="C23">
      <v>983</v>
    </nc>
  </rcc>
  <rcc rId="1056" sId="7" numFmtId="4">
    <oc r="C30">
      <v>204878</v>
    </oc>
    <nc r="C30">
      <v>216793</v>
    </nc>
  </rcc>
  <rcc rId="1057" sId="7" numFmtId="4">
    <oc r="C31">
      <v>22954</v>
    </oc>
    <nc r="C31">
      <v>25568</v>
    </nc>
  </rcc>
  <rcc rId="1058" sId="7" numFmtId="4">
    <oc r="C32">
      <v>1804</v>
    </oc>
    <nc r="C32">
      <v>1810</v>
    </nc>
  </rcc>
  <rcc rId="1059" sId="7" numFmtId="4">
    <oc r="C33">
      <v>13970</v>
    </oc>
    <nc r="C33">
      <v>13853</v>
    </nc>
  </rcc>
  <rcc rId="1060" sId="7" numFmtId="4">
    <oc r="C44">
      <v>1628</v>
    </oc>
    <nc r="C44">
      <v>1476</v>
    </nc>
  </rcc>
  <rcc rId="1061" sId="7" numFmtId="4">
    <oc r="C27">
      <v>13621</v>
    </oc>
    <nc r="C27">
      <v>13673</v>
    </nc>
  </rcc>
  <rcc rId="1062" sId="7" numFmtId="4">
    <oc r="C28">
      <v>660</v>
    </oc>
    <nc r="C28">
      <v>954</v>
    </nc>
  </rcc>
  <rcc rId="1063" sId="7">
    <oc r="C29">
      <f>189+8+1</f>
    </oc>
    <nc r="C29">
      <f>189+3+1</f>
    </nc>
  </rcc>
  <rcc rId="1064" sId="7" numFmtId="4">
    <oc r="C36">
      <v>1797</v>
    </oc>
    <nc r="C36">
      <v>3249</v>
    </nc>
  </rcc>
  <rcc rId="1065" sId="7" numFmtId="4">
    <oc r="C37">
      <v>8202</v>
    </oc>
    <nc r="C37">
      <v>3292</v>
    </nc>
  </rcc>
  <rcc rId="1066" sId="7">
    <oc r="C39">
      <f>5841+5</f>
    </oc>
    <nc r="C39">
      <f>5039+15</f>
    </nc>
  </rcc>
  <rcc rId="1067" sId="7" numFmtId="4">
    <oc r="D27">
      <v>13621</v>
    </oc>
    <nc r="D27">
      <v>13673</v>
    </nc>
  </rcc>
  <rcc rId="1068" sId="7" numFmtId="4">
    <oc r="D28">
      <v>660</v>
    </oc>
    <nc r="D28">
      <v>954</v>
    </nc>
  </rcc>
  <rcc rId="1069" sId="7" numFmtId="4">
    <oc r="D29">
      <v>198</v>
    </oc>
    <nc r="D29">
      <v>193</v>
    </nc>
  </rcc>
  <rcc rId="1070" sId="7" numFmtId="4">
    <oc r="D30">
      <v>204878</v>
    </oc>
    <nc r="D30">
      <v>216793</v>
    </nc>
  </rcc>
  <rcc rId="1071" sId="7" numFmtId="4">
    <oc r="D31">
      <v>22954</v>
    </oc>
    <nc r="D31">
      <v>25568</v>
    </nc>
  </rcc>
  <rcc rId="1072" sId="7" numFmtId="4">
    <oc r="D32">
      <v>1804</v>
    </oc>
    <nc r="D32">
      <v>1810</v>
    </nc>
  </rcc>
  <rcc rId="1073" sId="7" numFmtId="4">
    <oc r="D33">
      <v>13970</v>
    </oc>
    <nc r="D33">
      <v>13853</v>
    </nc>
  </rcc>
  <rcc rId="1074" sId="7" numFmtId="4">
    <oc r="D36">
      <v>1797</v>
    </oc>
    <nc r="D36">
      <v>3249</v>
    </nc>
  </rcc>
  <rcc rId="1075" sId="7" numFmtId="4">
    <oc r="D37">
      <v>8202</v>
    </oc>
    <nc r="D37">
      <v>3292</v>
    </nc>
  </rcc>
  <rcc rId="1076" sId="7" numFmtId="4">
    <oc r="D39">
      <v>5846</v>
    </oc>
    <nc r="D39">
      <v>5054</v>
    </nc>
  </rcc>
  <rcc rId="1077" sId="7" numFmtId="4">
    <oc r="D44">
      <v>1628</v>
    </oc>
    <nc r="D44">
      <v>1476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8" sId="7" numFmtId="4">
    <oc r="C56">
      <v>10210</v>
    </oc>
    <nc r="C56">
      <v>11320</v>
    </nc>
  </rcc>
  <rcc rId="1089" sId="7" numFmtId="4">
    <oc r="C59">
      <v>42907</v>
    </oc>
    <nc r="C59">
      <v>47599</v>
    </nc>
  </rcc>
  <rcc rId="1090" sId="7">
    <oc r="C66">
      <f>46211+7635+6783</f>
    </oc>
    <nc r="C66">
      <f>46022+7626+6670</f>
    </nc>
  </rcc>
  <rcc rId="1091" sId="7" numFmtId="4">
    <oc r="C67">
      <v>38589</v>
    </oc>
    <nc r="C67">
      <v>37961</v>
    </nc>
  </rcc>
  <rcc rId="1092" sId="7" numFmtId="4">
    <oc r="C70">
      <v>8472</v>
    </oc>
    <nc r="C70">
      <v>7915</v>
    </nc>
  </rcc>
  <rcc rId="1093" sId="7" numFmtId="4">
    <oc r="C74">
      <f>1723+1019+848+106</f>
    </oc>
    <nc r="C74">
      <v>5111</v>
    </nc>
  </rcc>
  <rcc rId="1094" sId="7" numFmtId="4">
    <oc r="C76">
      <v>4</v>
    </oc>
    <nc r="C76"/>
  </rcc>
  <rcc rId="1095" sId="7" numFmtId="4">
    <oc r="D74">
      <v>3696</v>
    </oc>
    <nc r="D74">
      <v>5111</v>
    </nc>
  </rcc>
  <rcc rId="1096" sId="7" numFmtId="4">
    <oc r="D76">
      <v>4</v>
    </oc>
    <nc r="D76"/>
  </rcc>
  <rcc rId="1097" sId="7" numFmtId="4">
    <oc r="C78">
      <v>217392</v>
    </oc>
    <nc r="C78">
      <v>182691</v>
    </nc>
  </rcc>
  <rcc rId="1098" sId="7" numFmtId="4">
    <oc r="C85">
      <v>9467</v>
    </oc>
    <nc r="C85">
      <v>9547</v>
    </nc>
  </rcc>
  <rcc rId="1099" sId="7" numFmtId="4">
    <oc r="C89">
      <v>142681</v>
    </oc>
    <nc r="C89">
      <v>146205</v>
    </nc>
  </rcc>
  <rcc rId="1100" sId="7" numFmtId="4">
    <oc r="C90">
      <v>799</v>
    </oc>
    <nc r="C90">
      <v>392</v>
    </nc>
  </rcc>
  <rcc rId="1101" sId="7" numFmtId="4">
    <oc r="C91">
      <v>14682</v>
    </oc>
    <nc r="C91">
      <v>14846</v>
    </nc>
  </rcc>
  <rcc rId="1102" sId="7" numFmtId="4">
    <oc r="C96">
      <v>3206</v>
    </oc>
    <nc r="C96">
      <v>3191</v>
    </nc>
  </rcc>
  <rcc rId="1103" sId="7" numFmtId="4">
    <oc r="C97">
      <v>24113</v>
    </oc>
    <nc r="C97">
      <v>20494</v>
    </nc>
  </rcc>
  <rcc rId="1104" sId="7" numFmtId="4">
    <oc r="C93">
      <v>36</v>
    </oc>
    <nc r="C93">
      <v>1532</v>
    </nc>
  </rcc>
  <rcc rId="1105" sId="7" numFmtId="4">
    <oc r="C94">
      <v>6039</v>
    </oc>
    <nc r="C94">
      <v>5553</v>
    </nc>
  </rcc>
  <rcc rId="1106" sId="7">
    <oc r="C95">
      <f>540+409+15</f>
    </oc>
    <nc r="C95">
      <f>1016+806+15+40</f>
    </nc>
  </rcc>
  <rcc rId="1107" sId="7" numFmtId="4">
    <oc r="D78">
      <v>217392</v>
    </oc>
    <nc r="D78">
      <v>182691</v>
    </nc>
  </rcc>
  <rcc rId="1108" sId="7" numFmtId="4">
    <oc r="D85">
      <v>9467</v>
    </oc>
    <nc r="D85">
      <v>9547</v>
    </nc>
  </rcc>
  <rcc rId="1109" sId="7" numFmtId="4">
    <oc r="D89">
      <v>142681</v>
    </oc>
    <nc r="D89">
      <v>146205</v>
    </nc>
  </rcc>
  <rcc rId="1110" sId="7" numFmtId="4">
    <oc r="D90">
      <v>799</v>
    </oc>
    <nc r="D90">
      <v>392</v>
    </nc>
  </rcc>
  <rcc rId="1111" sId="7" numFmtId="4">
    <oc r="D91">
      <v>14682</v>
    </oc>
    <nc r="D91">
      <v>14846</v>
    </nc>
  </rcc>
  <rcc rId="1112" sId="7" numFmtId="4">
    <oc r="D93">
      <v>36</v>
    </oc>
    <nc r="D93">
      <v>1532</v>
    </nc>
  </rcc>
  <rcc rId="1113" sId="7" numFmtId="4">
    <oc r="D94">
      <v>6039</v>
    </oc>
    <nc r="D94">
      <v>5553</v>
    </nc>
  </rcc>
  <rcc rId="1114" sId="7" numFmtId="4">
    <oc r="D95">
      <v>964</v>
    </oc>
    <nc r="D95">
      <v>1877</v>
    </nc>
  </rcc>
  <rcc rId="1115" sId="7" numFmtId="4">
    <oc r="D96">
      <v>3206</v>
    </oc>
    <nc r="D96">
      <v>3191</v>
    </nc>
  </rcc>
  <rcc rId="1116" sId="7" numFmtId="4">
    <oc r="D97">
      <v>24113</v>
    </oc>
    <nc r="D97">
      <v>20494</v>
    </nc>
  </rcc>
  <rcc rId="1117" sId="7" numFmtId="4">
    <oc r="C106">
      <v>1</v>
    </oc>
    <nc r="C106">
      <v>139</v>
    </nc>
  </rcc>
  <rcc rId="1118" sId="7" numFmtId="4">
    <oc r="D106">
      <v>138</v>
    </oc>
    <nc r="D106"/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9" sId="6" numFmtId="4">
    <oc r="D11">
      <v>60104</v>
    </oc>
    <nc r="D11">
      <v>60907</v>
    </nc>
  </rcc>
  <rcc rId="1130" sId="6" numFmtId="4">
    <oc r="D12">
      <v>274568</v>
    </oc>
    <nc r="D12">
      <v>244851</v>
    </nc>
  </rcc>
  <rcc rId="1131" sId="6" numFmtId="4">
    <oc r="D13">
      <v>243090</v>
    </oc>
    <nc r="D13">
      <v>247035</v>
    </nc>
  </rcc>
  <rcc rId="1132" sId="6" numFmtId="4">
    <oc r="D14">
      <v>22792</v>
    </oc>
    <nc r="D14">
      <v>22736</v>
    </nc>
  </rcc>
  <rcc rId="1133" sId="6" numFmtId="4">
    <oc r="D15">
      <v>26280</v>
    </oc>
    <nc r="D15">
      <v>22368</v>
    </nc>
  </rcc>
  <rcc rId="1134" sId="6" numFmtId="4">
    <oc r="D16">
      <v>27472</v>
    </oc>
    <nc r="D16">
      <v>27888</v>
    </nc>
  </rcc>
  <rcc rId="1135" sId="6" numFmtId="4">
    <oc r="D17">
      <v>10209</v>
    </oc>
    <nc r="D17">
      <v>4798</v>
    </nc>
  </rcc>
  <rcc rId="1136" sId="6" numFmtId="4">
    <oc r="D18">
      <v>445</v>
    </oc>
    <nc r="D18">
      <v>494</v>
    </nc>
  </rcc>
  <rcc rId="1137" sId="6" numFmtId="4">
    <oc r="D20">
      <v>11691</v>
    </oc>
    <nc r="D20">
      <v>9446</v>
    </nc>
  </rcc>
  <rcc rId="1138" sId="6" numFmtId="4">
    <oc r="D21">
      <v>344</v>
    </oc>
    <nc r="D21">
      <v>521</v>
    </nc>
  </rcc>
  <rcc rId="1139" sId="6" numFmtId="4">
    <oc r="D23">
      <v>83084</v>
    </oc>
    <nc r="D23">
      <v>61638</v>
    </nc>
  </rcc>
  <rcc rId="1140" sId="6" numFmtId="4">
    <oc r="D24">
      <v>27696</v>
    </oc>
    <nc r="D24">
      <v>33265</v>
    </nc>
  </rcc>
  <rcc rId="1141" sId="6" numFmtId="4">
    <oc r="D26">
      <v>7557</v>
    </oc>
    <nc r="D26">
      <v>2847</v>
    </nc>
  </rcc>
  <rcc rId="1142" sId="6" numFmtId="4">
    <nc r="D31">
      <v>1983</v>
    </nc>
  </rcc>
  <rcc rId="1143" sId="6" numFmtId="4">
    <oc r="D32">
      <v>62811</v>
    </oc>
    <nc r="D32">
      <v>125337</v>
    </nc>
  </rcc>
  <rcc rId="1144" sId="6" numFmtId="4">
    <oc r="D33">
      <v>14294</v>
    </oc>
    <nc r="D33">
      <v>5778</v>
    </nc>
  </rcc>
  <rcc rId="1145" sId="6" numFmtId="4">
    <oc r="D41">
      <v>31157</v>
    </oc>
    <nc r="D41">
      <v>31308</v>
    </nc>
  </rcc>
  <rcc rId="1146" sId="6" numFmtId="4">
    <oc r="E41">
      <v>151</v>
    </oc>
    <nc r="E41"/>
  </rcc>
  <rcc rId="1147" sId="6">
    <oc r="E31">
      <f>1694+4+13+272</f>
    </oc>
    <nc r="E31"/>
  </rcc>
  <rcc rId="1148" sId="6">
    <oc r="E32">
      <f>12088+2880+25989+17920+3709</f>
    </oc>
    <nc r="E32"/>
  </rcc>
  <rcc rId="1149" sId="6" numFmtId="4">
    <oc r="F32">
      <v>60</v>
    </oc>
    <nc r="F32"/>
  </rcc>
  <rcc rId="1150" sId="6" numFmtId="4">
    <oc r="E33">
      <v>22482</v>
    </oc>
    <nc r="E33"/>
  </rcc>
  <rcc rId="1151" sId="6">
    <oc r="F33">
      <f>28029+2615-247</f>
    </oc>
    <nc r="F33"/>
  </rcc>
  <rcc rId="1152" sId="6" numFmtId="4">
    <oc r="I33">
      <v>601</v>
    </oc>
    <nc r="I33"/>
  </rcc>
  <rcc rId="1153" sId="6" numFmtId="4">
    <oc r="E23">
      <v>449</v>
    </oc>
    <nc r="E23"/>
  </rcc>
  <rcc rId="1154" sId="6">
    <oc r="F23">
      <f>26994-5099</f>
    </oc>
    <nc r="F23"/>
  </rcc>
  <rcc rId="1155" sId="6" numFmtId="4">
    <oc r="E24">
      <v>6034</v>
    </oc>
    <nc r="E24"/>
  </rcc>
  <rcc rId="1156" sId="6" numFmtId="4">
    <oc r="F24">
      <v>465</v>
    </oc>
    <nc r="F24"/>
  </rcc>
  <rcc rId="1157" sId="6" numFmtId="4">
    <oc r="E26">
      <v>2001</v>
    </oc>
    <nc r="E26"/>
  </rcc>
  <rcc rId="1158" sId="6">
    <oc r="F26">
      <f>1612+5099</f>
    </oc>
    <nc r="F26"/>
  </rcc>
  <rcc rId="1159" sId="6" numFmtId="4">
    <oc r="F20">
      <v>2379</v>
    </oc>
    <nc r="F20"/>
  </rcc>
  <rcc rId="1160" sId="6" numFmtId="4">
    <oc r="E21">
      <v>177</v>
    </oc>
    <nc r="E21"/>
  </rcc>
  <rcc rId="1161" sId="6" numFmtId="4">
    <oc r="H20">
      <v>134</v>
    </oc>
    <nc r="H20"/>
  </rcc>
  <rcc rId="1162" sId="6" numFmtId="4">
    <oc r="E11">
      <v>1322</v>
    </oc>
    <nc r="E11"/>
  </rcc>
  <rcc rId="1163" sId="6" numFmtId="4">
    <oc r="F11">
      <v>3474</v>
    </oc>
    <nc r="F11"/>
  </rcc>
  <rcc rId="1164" sId="6" numFmtId="4">
    <oc r="E12">
      <v>17567</v>
    </oc>
    <nc r="E12"/>
  </rcc>
  <rcc rId="1165" sId="6" numFmtId="4">
    <oc r="F12">
      <v>41567</v>
    </oc>
    <nc r="F12"/>
  </rcc>
  <rcc rId="1166" sId="6" numFmtId="4">
    <oc r="E13">
      <v>15649</v>
    </oc>
    <nc r="E13"/>
  </rcc>
  <rcc rId="1167" sId="6" numFmtId="4">
    <oc r="F13">
      <v>15077</v>
    </oc>
    <nc r="F13"/>
  </rcc>
  <rcc rId="1168" sId="6" numFmtId="4">
    <oc r="E14">
      <v>830</v>
    </oc>
    <nc r="E14"/>
  </rcc>
  <rcc rId="1169" sId="6" numFmtId="4">
    <oc r="F14">
      <v>106</v>
    </oc>
    <nc r="F14"/>
  </rcc>
  <rcc rId="1170" sId="6" numFmtId="4">
    <oc r="E15">
      <v>3602</v>
    </oc>
    <nc r="E15"/>
  </rcc>
  <rcc rId="1171" sId="6" numFmtId="4">
    <oc r="F15">
      <v>8156</v>
    </oc>
    <nc r="F15"/>
  </rcc>
  <rcc rId="1172" sId="6" numFmtId="4">
    <oc r="E16">
      <v>3703</v>
    </oc>
    <nc r="E16"/>
  </rcc>
  <rcc rId="1173" sId="6" numFmtId="4">
    <oc r="F16">
      <v>3408</v>
    </oc>
    <nc r="F16"/>
  </rcc>
  <rcc rId="1174" sId="6" numFmtId="4">
    <oc r="E17">
      <v>12922</v>
    </oc>
    <nc r="E17"/>
  </rcc>
  <rcc rId="1175" sId="6" numFmtId="4">
    <oc r="F17">
      <v>17636</v>
    </oc>
    <nc r="F17"/>
  </rcc>
  <rcc rId="1176" sId="6" numFmtId="4">
    <oc r="E18">
      <v>49</v>
    </oc>
    <nc r="E18"/>
  </rcc>
  <rcc rId="1177" sId="6">
    <oc r="H11">
      <f>5193-156</f>
    </oc>
    <nc r="H11"/>
  </rcc>
  <rcc rId="1178" sId="6">
    <oc r="I11">
      <f>2238-156</f>
    </oc>
    <nc r="I11"/>
  </rcc>
  <rcc rId="1179" sId="6" numFmtId="4">
    <oc r="H12">
      <v>531</v>
    </oc>
    <nc r="H12"/>
  </rcc>
  <rcc rId="1180" sId="6" numFmtId="4">
    <oc r="I12">
      <v>6248</v>
    </oc>
    <nc r="I12"/>
  </rcc>
  <rcc rId="1181" sId="6" numFmtId="4">
    <oc r="H13">
      <v>3497</v>
    </oc>
    <nc r="H13"/>
  </rcc>
  <rcc rId="1182" sId="6" numFmtId="4">
    <oc r="I13">
      <v>124</v>
    </oc>
    <nc r="I13"/>
  </rcc>
  <rcc rId="1183" sId="6">
    <oc r="I14">
      <f>608+172</f>
    </oc>
    <nc r="I14"/>
  </rcc>
  <rcc rId="1184" sId="6" numFmtId="4">
    <oc r="H15">
      <v>642</v>
    </oc>
    <nc r="H15"/>
  </rcc>
  <rcc rId="1185" sId="6" numFmtId="4">
    <oc r="H16">
      <v>121</v>
    </oc>
    <nc r="H16"/>
  </rcc>
  <rcc rId="1186" sId="6" numFmtId="4">
    <oc r="I17">
      <v>697</v>
    </oc>
    <nc r="I17"/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" sId="9" numFmtId="4">
    <oc r="G13">
      <v>711</v>
    </oc>
    <nc r="G13"/>
  </rcc>
  <rcc rId="615" sId="9" numFmtId="4">
    <nc r="H13">
      <v>815</v>
    </nc>
  </rcc>
  <rcc rId="616" sId="9">
    <oc r="F13">
      <f>133736-711</f>
    </oc>
    <nc r="F13">
      <f>133736+815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" sId="6" numFmtId="4">
    <oc r="K11">
      <v>8</v>
    </oc>
    <nc r="K11">
      <v>3</v>
    </nc>
  </rcc>
  <rcc rId="1198" sId="6" numFmtId="4">
    <oc r="K12">
      <v>83141</v>
    </oc>
    <nc r="K12">
      <v>78716</v>
    </nc>
  </rcc>
  <rcc rId="1199" sId="6" numFmtId="4">
    <oc r="K13">
      <v>144208</v>
    </oc>
    <nc r="K13">
      <v>149853</v>
    </nc>
  </rcc>
  <rcc rId="1200" sId="6" numFmtId="4">
    <oc r="K14">
      <v>9075</v>
    </oc>
    <nc r="K14">
      <v>10495</v>
    </nc>
  </rcc>
  <rcc rId="1201" sId="6" numFmtId="4">
    <oc r="K15">
      <v>15124</v>
    </oc>
    <nc r="K15">
      <v>12150</v>
    </nc>
  </rcc>
  <rcc rId="1202" sId="6" numFmtId="4">
    <oc r="K16">
      <v>17693</v>
    </oc>
    <nc r="K16">
      <v>17707</v>
    </nc>
  </rcc>
  <rcc rId="1203" sId="6" numFmtId="4">
    <oc r="K18">
      <v>154</v>
    </oc>
    <nc r="K18">
      <v>221</v>
    </nc>
  </rcc>
  <rcc rId="1204" sId="6" numFmtId="4">
    <oc r="K21">
      <v>29</v>
    </oc>
    <nc r="K21">
      <v>60</v>
    </nc>
  </rcc>
  <rcc rId="1205" sId="6" numFmtId="4">
    <oc r="K23">
      <v>44478</v>
    </oc>
    <nc r="K23">
      <v>27622</v>
    </nc>
  </rcc>
  <rcc rId="1206" sId="6" numFmtId="4">
    <oc r="K24">
      <v>13225</v>
    </oc>
    <nc r="K24">
      <v>15707</v>
    </nc>
  </rcc>
  <rcc rId="1207" sId="6" numFmtId="4">
    <oc r="K26">
      <v>2362</v>
    </oc>
    <nc r="K26">
      <v>0</v>
    </nc>
  </rcc>
  <rcc rId="1208" sId="6" numFmtId="4">
    <oc r="L11">
      <v>5</v>
    </oc>
    <nc r="L11"/>
  </rcc>
  <rcc rId="1209" sId="6" numFmtId="4">
    <oc r="M11">
      <v>10</v>
    </oc>
    <nc r="M11"/>
  </rcc>
  <rcc rId="1210" sId="6" numFmtId="4">
    <oc r="L12">
      <v>23548</v>
    </oc>
    <nc r="L12"/>
  </rcc>
  <rcc rId="1211" sId="6" numFmtId="4">
    <oc r="M12">
      <v>26564</v>
    </oc>
    <nc r="M12"/>
  </rcc>
  <rcc rId="1212" sId="6" numFmtId="4">
    <oc r="L13">
      <v>13371</v>
    </oc>
    <nc r="L13"/>
  </rcc>
  <rcc rId="1213" sId="6" numFmtId="4">
    <oc r="M13">
      <v>9114</v>
    </oc>
    <nc r="M13"/>
  </rcc>
  <rcc rId="1214" sId="6" numFmtId="4">
    <oc r="L14">
      <v>1657</v>
    </oc>
    <nc r="L14"/>
  </rcc>
  <rcc rId="1215" sId="6" numFmtId="4">
    <oc r="M14">
      <v>66</v>
    </oc>
    <nc r="M14"/>
  </rcc>
  <rcc rId="1216" sId="6" numFmtId="4">
    <oc r="L15">
      <v>4001</v>
    </oc>
    <nc r="L15"/>
  </rcc>
  <rcc rId="1217" sId="6" numFmtId="4">
    <oc r="M15">
      <v>6946</v>
    </oc>
    <nc r="M15"/>
  </rcc>
  <rcc rId="1218" sId="6" numFmtId="4">
    <oc r="L16">
      <v>2637</v>
    </oc>
    <nc r="L16"/>
  </rcc>
  <rcc rId="1219" sId="6" numFmtId="4">
    <oc r="M16">
      <v>2614</v>
    </oc>
    <nc r="M16"/>
  </rcc>
  <rcc rId="1220" sId="6" numFmtId="4">
    <oc r="L18">
      <v>67</v>
    </oc>
    <nc r="L18"/>
  </rcc>
  <rcc rId="1221" sId="6">
    <oc r="P12">
      <f>1283+126</f>
    </oc>
    <nc r="P12"/>
  </rcc>
  <rcc rId="1222" sId="6" numFmtId="4">
    <oc r="O13">
      <v>2000</v>
    </oc>
    <nc r="O13"/>
  </rcc>
  <rcc rId="1223" sId="6" numFmtId="4">
    <oc r="P13">
      <v>612</v>
    </oc>
    <nc r="P13"/>
  </rcc>
  <rcc rId="1224" sId="6" numFmtId="4">
    <oc r="P14">
      <v>171</v>
    </oc>
    <nc r="P14"/>
  </rcc>
  <rcc rId="1225" sId="6" numFmtId="4">
    <oc r="P15">
      <v>29</v>
    </oc>
    <nc r="P15"/>
  </rcc>
  <rcc rId="1226" sId="6" numFmtId="4">
    <oc r="P16">
      <v>9</v>
    </oc>
    <nc r="P16"/>
  </rcc>
  <rcc rId="1227" sId="6" numFmtId="4">
    <oc r="L21">
      <v>31</v>
    </oc>
    <nc r="L21"/>
  </rcc>
  <rcc rId="1228" sId="6" numFmtId="4">
    <oc r="L23">
      <v>6594</v>
    </oc>
    <nc r="L23"/>
  </rcc>
  <rcc rId="1229" sId="6">
    <oc r="M23">
      <f>25812-2362</f>
    </oc>
    <nc r="M23"/>
  </rcc>
  <rcc rId="1230" sId="6" numFmtId="4">
    <oc r="L24">
      <v>2914</v>
    </oc>
    <nc r="L24"/>
  </rcc>
  <rcc rId="1231" sId="6" numFmtId="4">
    <oc r="M24">
      <v>432</v>
    </oc>
    <nc r="M24"/>
  </rcc>
  <rcc rId="1232" sId="6" numFmtId="4">
    <oc r="M26">
      <v>2362</v>
    </oc>
    <nc r="M26"/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3" sId="6" numFmtId="4">
    <nc r="F11">
      <v>29</v>
    </nc>
  </rcc>
  <rcc rId="1234" sId="6" numFmtId="4">
    <nc r="E12">
      <v>4250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5" sId="6">
    <nc r="F12">
      <f>334+1337</f>
    </nc>
  </rcc>
  <rcc rId="1236" sId="6" numFmtId="4">
    <oc r="F12">
      <f>334+1337</f>
    </oc>
    <nc r="F12">
      <v>1671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7" sId="6">
    <nc r="E13">
      <f>702</f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8" sId="6">
    <nc r="F13">
      <f>406+50</f>
    </nc>
  </rcc>
  <rcc rId="1239" sId="6">
    <oc r="E13">
      <f>702</f>
    </oc>
    <nc r="E13">
      <f>702+223</f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0" sId="6" numFmtId="4">
    <nc r="E14">
      <v>29</v>
    </nc>
  </rcc>
  <rcc rId="1241" sId="6">
    <nc r="F14">
      <f>6+34</f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2" sId="6" numFmtId="4">
    <nc r="E15">
      <v>820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3" sId="6">
    <nc r="F15">
      <f>89+278</f>
    </nc>
  </rcc>
  <rcc rId="1244" sId="6" numFmtId="4">
    <oc r="E15">
      <v>820</v>
    </oc>
    <nc r="E15">
      <f>820+647</f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" sId="5">
    <oc r="M30">
      <f>1195-4357</f>
    </oc>
    <nc r="M30">
      <f>1195-4357-480</f>
    </nc>
  </rcc>
  <rcc rId="421" sId="5" numFmtId="4">
    <oc r="M25">
      <v>480</v>
    </oc>
    <nc r="M25"/>
  </rcc>
  <rdn rId="0" localSheetId="1" customView="1" name="Z_3239EBCD_0009_49F8_9CD4_7149DE51B97F_.wvu.PrintArea" hidden="1" oldHidden="1">
    <formula>Начална!$A$1:$B$29</formula>
  </rdn>
  <rdn rId="0" localSheetId="2" customView="1" name="Z_3239EBCD_0009_49F8_9CD4_7149DE51B97F_.wvu.PrintArea" hidden="1" oldHidden="1">
    <formula>'1-Баланс'!$A$1:$H$109</formula>
  </rdn>
  <rdn rId="0" localSheetId="2" customView="1" name="Z_3239EBCD_0009_49F8_9CD4_7149DE51B97F_.wvu.PrintTitles" hidden="1" oldHidden="1">
    <formula>'1-Баланс'!$9:$9</formula>
  </rdn>
  <rdn rId="0" localSheetId="3" customView="1" name="Z_3239EBCD_0009_49F8_9CD4_7149DE51B97F_.wvu.PrintArea" hidden="1" oldHidden="1">
    <formula>'2-Отчет за доходите'!$A$1:$H$61</formula>
  </rdn>
  <rdn rId="0" localSheetId="4" customView="1" name="Z_3239EBCD_0009_49F8_9CD4_7149DE51B97F_.wvu.FilterData" hidden="1" oldHidden="1">
    <formula>'3-Отчет за паричния поток'!$A$9:$D$48</formula>
  </rdn>
  <rdn rId="0" localSheetId="5" customView="1" name="Z_3239EBCD_0009_49F8_9CD4_7149DE51B97F_.wvu.PrintArea" hidden="1" oldHidden="1">
    <formula>'4-Отчет за собствения капитал'!$A$1:$M$49</formula>
  </rdn>
  <rdn rId="0" localSheetId="6" customView="1" name="Z_3239EBCD_0009_49F8_9CD4_7149DE51B97F_.wvu.PrintArea" hidden="1" oldHidden="1">
    <formula>'Справка 6'!$A$1:$R$56</formula>
  </rdn>
  <rdn rId="0" localSheetId="11" customView="1" name="Z_3239EBCD_0009_49F8_9CD4_7149DE51B97F_.wvu.PrintArea" hidden="1" oldHidden="1">
    <formula>Контроли!$A$1:$G$15</formula>
  </rdn>
  <rdn rId="0" localSheetId="12" customView="1" name="Z_3239EBCD_0009_49F8_9CD4_7149DE51B97F_.wvu.PrintArea" hidden="1" oldHidden="1">
    <formula>Показатели!$A$1:$D$24</formula>
  </rdn>
  <rdn rId="0" localSheetId="13" customView="1" name="Z_3239EBCD_0009_49F8_9CD4_7149DE51B97F_.wvu.FilterData" hidden="1" oldHidden="1">
    <formula>Danni!$A$1:$H$1294</formula>
  </rdn>
  <rcv guid="{3239EBCD-0009-49F8-9CD4-7149DE51B97F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2" sId="6" numFmtId="4">
    <oc r="H11">
      <v>5193</v>
    </oc>
    <nc r="H11">
      <f>5193-156</f>
    </nc>
  </rcc>
  <rcc rId="433" sId="6" numFmtId="4">
    <oc r="I11">
      <v>2238</v>
    </oc>
    <nc r="I11">
      <f>2238-156</f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7" sId="8">
    <oc r="G13">
      <f>+'Справка 8 България'!G13</f>
    </oc>
    <nc r="G13"/>
  </rcc>
  <rcc rId="628" sId="8">
    <nc r="H13">
      <f>+'Справка 8 България'!H13</f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4" sId="2" odxf="1" dxf="1">
    <oc r="B103" t="inlineStr">
      <is>
        <t>.........................</t>
      </is>
    </oc>
    <nc r="B103">
      <f>+Начална!B17</f>
    </nc>
    <odxf>
      <numFmt numFmtId="0" formatCode="General"/>
    </odxf>
    <ndxf>
      <numFmt numFmtId="30" formatCode="@"/>
    </ndxf>
  </rcc>
  <rcc rId="455" sId="1">
    <oc r="B17" t="inlineStr">
      <is>
        <t>Огнян Донев</t>
      </is>
    </oc>
    <nc r="B17" t="inlineStr">
      <is>
        <t>ОГНЯН ДОНЕВ</t>
      </is>
    </nc>
  </rcc>
  <rcc rId="456" sId="1">
    <oc r="B26" t="inlineStr">
      <is>
        <t>Людмила Бонджова</t>
      </is>
    </oc>
    <nc r="B26" t="inlineStr">
      <is>
        <t>ЛЮДМИЛА БОНДЖОВА</t>
      </is>
    </nc>
  </rcc>
  <rcc rId="457" sId="2">
    <oc r="B104" t="inlineStr">
      <is>
        <t>.........................</t>
      </is>
    </oc>
    <nc r="B104"/>
  </rcc>
  <rcc rId="458" sId="2">
    <oc r="B105" t="inlineStr">
      <is>
        <t>.........................</t>
      </is>
    </oc>
    <nc r="B105"/>
  </rcc>
  <rcc rId="459" sId="2">
    <oc r="B106" t="inlineStr">
      <is>
        <t>.........................</t>
      </is>
    </oc>
    <nc r="B106"/>
  </rcc>
  <rcc rId="460" sId="3" odxf="1" dxf="1">
    <oc r="B55" t="inlineStr">
      <is>
        <t>.........................</t>
      </is>
    </oc>
    <nc r="B55">
      <f>+Начална!B17</f>
    </nc>
    <odxf>
      <numFmt numFmtId="0" formatCode="General"/>
    </odxf>
    <ndxf>
      <numFmt numFmtId="30" formatCode="@"/>
    </ndxf>
  </rcc>
  <rcc rId="461" sId="3">
    <oc r="B56" t="inlineStr">
      <is>
        <t>.........................</t>
      </is>
    </oc>
    <nc r="B56"/>
  </rcc>
  <rcc rId="462" sId="3">
    <oc r="B57" t="inlineStr">
      <is>
        <t>.........................</t>
      </is>
    </oc>
    <nc r="B57"/>
  </rcc>
  <rcc rId="463" sId="3">
    <oc r="B58" t="inlineStr">
      <is>
        <t>.........................</t>
      </is>
    </oc>
    <nc r="B58"/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" sId="4" odxf="1" dxf="1">
    <oc r="B59" t="inlineStr">
      <is>
        <t>.........................</t>
      </is>
    </oc>
    <nc r="B59">
      <f>+Начална!B17</f>
    </nc>
    <odxf>
      <numFmt numFmtId="0" formatCode="General"/>
    </odxf>
    <ndxf>
      <numFmt numFmtId="30" formatCode="@"/>
    </ndxf>
  </rcc>
  <rcc rId="465" sId="4">
    <oc r="B60" t="inlineStr">
      <is>
        <t>.........................</t>
      </is>
    </oc>
    <nc r="B60"/>
  </rcc>
  <rcc rId="466" sId="4">
    <oc r="B61" t="inlineStr">
      <is>
        <t>.........................</t>
      </is>
    </oc>
    <nc r="B61"/>
  </rcc>
  <rcc rId="467" sId="4">
    <oc r="B62" t="inlineStr">
      <is>
        <t>.........................</t>
      </is>
    </oc>
    <nc r="B62"/>
  </rcc>
  <rcc rId="468" sId="5" odxf="1" dxf="1">
    <oc r="B43" t="inlineStr">
      <is>
        <t>.........................</t>
      </is>
    </oc>
    <nc r="B43">
      <f>+Начална!B17</f>
    </nc>
    <odxf>
      <numFmt numFmtId="0" formatCode="General"/>
    </odxf>
    <ndxf>
      <numFmt numFmtId="30" formatCode="@"/>
    </ndxf>
  </rcc>
  <rcc rId="469" sId="5">
    <oc r="B44" t="inlineStr">
      <is>
        <t>.........................</t>
      </is>
    </oc>
    <nc r="B44"/>
  </rcc>
  <rcc rId="470" sId="5">
    <oc r="B45" t="inlineStr">
      <is>
        <t>.........................</t>
      </is>
    </oc>
    <nc r="B45"/>
  </rcc>
  <rcc rId="471" sId="5">
    <oc r="B46" t="inlineStr">
      <is>
        <t>.........................</t>
      </is>
    </oc>
    <nc r="B46"/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" sId="6" odxf="1" dxf="1">
    <oc r="C50" t="inlineStr">
      <is>
        <t>.........................</t>
      </is>
    </oc>
    <nc r="C50">
      <f>+Начална!B17</f>
    </nc>
    <odxf>
      <numFmt numFmtId="0" formatCode="General"/>
    </odxf>
    <ndxf>
      <numFmt numFmtId="30" formatCode="@"/>
    </ndxf>
  </rcc>
  <rcc rId="473" sId="6">
    <oc r="C51" t="inlineStr">
      <is>
        <t>.........................</t>
      </is>
    </oc>
    <nc r="C51"/>
  </rcc>
  <rcc rId="474" sId="6">
    <oc r="C52" t="inlineStr">
      <is>
        <t>.........................</t>
      </is>
    </oc>
    <nc r="C52"/>
  </rcc>
  <rcc rId="475" sId="6">
    <oc r="C53" t="inlineStr">
      <is>
        <t>.........................</t>
      </is>
    </oc>
    <nc r="C53"/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6" sId="7" odxf="1" dxf="1">
    <oc r="B116" t="inlineStr">
      <is>
        <t>.........................</t>
      </is>
    </oc>
    <nc r="B116">
      <f>+Начална!B17</f>
    </nc>
    <odxf>
      <numFmt numFmtId="0" formatCode="General"/>
    </odxf>
    <ndxf>
      <numFmt numFmtId="30" formatCode="@"/>
    </ndxf>
  </rcc>
  <rcc rId="477" sId="7">
    <oc r="B117" t="inlineStr">
      <is>
        <t>.........................</t>
      </is>
    </oc>
    <nc r="B117"/>
  </rcc>
  <rcc rId="478" sId="7">
    <oc r="B118" t="inlineStr">
      <is>
        <t>.........................</t>
      </is>
    </oc>
    <nc r="B118"/>
  </rcc>
  <rcc rId="479" sId="7">
    <oc r="B119" t="inlineStr">
      <is>
        <t>.........................</t>
      </is>
    </oc>
    <nc r="B119"/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0" sId="8" odxf="1" dxf="1">
    <oc r="B36" t="inlineStr">
      <is>
        <t>.........................</t>
      </is>
    </oc>
    <nc r="B36">
      <f>+Начална!B17</f>
    </nc>
    <odxf>
      <numFmt numFmtId="0" formatCode="General"/>
    </odxf>
    <ndxf>
      <numFmt numFmtId="30" formatCode="@"/>
    </ndxf>
  </rcc>
  <rcc rId="481" sId="8">
    <oc r="B37" t="inlineStr">
      <is>
        <t>.........................</t>
      </is>
    </oc>
    <nc r="B37"/>
  </rcc>
  <rcc rId="482" sId="8">
    <oc r="B38" t="inlineStr">
      <is>
        <t>.........................</t>
      </is>
    </oc>
    <nc r="B38"/>
  </rcc>
  <rcc rId="483" sId="8">
    <oc r="B39" t="inlineStr">
      <is>
        <t>.........................</t>
      </is>
    </oc>
    <nc r="B39"/>
  </rcc>
  <rcc rId="484" sId="9" odxf="1" dxf="1">
    <oc r="B36" t="inlineStr">
      <is>
        <t>.........................</t>
      </is>
    </oc>
    <nc r="B36">
      <f>+Начална!B17</f>
    </nc>
    <odxf>
      <numFmt numFmtId="0" formatCode="General"/>
    </odxf>
    <ndxf>
      <numFmt numFmtId="30" formatCode="@"/>
    </ndxf>
  </rcc>
  <rcc rId="485" sId="9">
    <oc r="B37" t="inlineStr">
      <is>
        <t>.........................</t>
      </is>
    </oc>
    <nc r="B37"/>
  </rcc>
  <rcc rId="486" sId="9">
    <oc r="B38" t="inlineStr">
      <is>
        <t>.........................</t>
      </is>
    </oc>
    <nc r="B38"/>
  </rcc>
  <rcc rId="487" sId="9">
    <oc r="B39" t="inlineStr">
      <is>
        <t>.........................</t>
      </is>
    </oc>
    <nc r="B39"/>
  </rcc>
  <rcc rId="488" sId="10" odxf="1" dxf="1">
    <oc r="B36" t="inlineStr">
      <is>
        <t>.........................</t>
      </is>
    </oc>
    <nc r="B36">
      <f>+Начална!B17</f>
    </nc>
    <odxf>
      <numFmt numFmtId="0" formatCode="General"/>
    </odxf>
    <ndxf>
      <numFmt numFmtId="30" formatCode="@"/>
    </ndxf>
  </rcc>
  <rcc rId="489" sId="10">
    <oc r="B37" t="inlineStr">
      <is>
        <t>.........................</t>
      </is>
    </oc>
    <nc r="B37"/>
  </rcc>
  <rcc rId="490" sId="10">
    <oc r="B38" t="inlineStr">
      <is>
        <t>.........................</t>
      </is>
    </oc>
    <nc r="B38"/>
  </rcc>
  <rcc rId="491" sId="10">
    <oc r="B39" t="inlineStr">
      <is>
        <t>.........................</t>
      </is>
    </oc>
    <nc r="B39"/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" sId="6" numFmtId="4">
    <oc r="I33">
      <v>600</v>
    </oc>
    <nc r="I33">
      <v>601</v>
    </nc>
  </rcc>
  <rcc rId="493" sId="6">
    <oc r="F33">
      <f>28029+2615-246</f>
    </oc>
    <nc r="F33">
      <f>28029+2615-247</f>
    </nc>
  </rcc>
  <rcc rId="494" sId="9" numFmtId="4">
    <oc r="H13">
      <v>814</v>
    </oc>
    <nc r="H13"/>
  </rcc>
  <rcc rId="495" sId="9" numFmtId="4">
    <nc r="G13">
      <v>711</v>
    </nc>
  </rcc>
  <rcc rId="496" sId="9">
    <oc r="F13">
      <f>133509+814</f>
    </oc>
    <nc r="F13">
      <f>133509-711</f>
    </nc>
  </rcc>
  <rcc rId="497" sId="8">
    <oc r="H13">
      <f>+'Справка 8 България'!H13</f>
    </oc>
    <nc r="H13"/>
  </rcc>
  <rcc rId="498" sId="8">
    <nc r="G13">
      <f>+'Справка 8 България'!G13</f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" sId="2" numFmtId="4">
    <oc r="C13">
      <v>166135</v>
    </oc>
    <nc r="C13"/>
  </rcc>
  <rcc rId="500" sId="2" numFmtId="4">
    <oc r="C14">
      <v>99507</v>
    </oc>
    <nc r="C14"/>
  </rcc>
  <rcc rId="501" sId="2" numFmtId="4">
    <oc r="C15">
      <v>11934</v>
    </oc>
    <nc r="C15"/>
  </rcc>
  <rcc rId="502" sId="2" numFmtId="4">
    <oc r="C16">
      <v>10321</v>
    </oc>
    <nc r="C16"/>
  </rcc>
  <rcc rId="503" sId="2" numFmtId="4">
    <oc r="C17">
      <v>10255</v>
    </oc>
    <nc r="C17"/>
  </rcc>
  <rcc rId="504" sId="2" numFmtId="4">
    <oc r="C18">
      <v>4798</v>
    </oc>
    <nc r="C18"/>
  </rcc>
  <rcc rId="505" sId="2" numFmtId="4">
    <oc r="C19">
      <v>273</v>
    </oc>
    <nc r="C19"/>
  </rcc>
  <rcc rId="506" sId="2" numFmtId="4">
    <oc r="C12">
      <v>60904</v>
    </oc>
    <nc r="C12">
      <v>362393</v>
    </nc>
  </rcc>
  <rcc rId="507" sId="2" numFmtId="4">
    <oc r="C22">
      <v>461</v>
    </oc>
    <nc r="C22"/>
  </rcc>
  <rcc rId="508" sId="2" numFmtId="4">
    <oc r="C25">
      <v>17596</v>
    </oc>
    <nc r="C25"/>
  </rcc>
  <rcc rId="509" sId="2" numFmtId="4">
    <oc r="C27">
      <v>2876</v>
    </oc>
    <nc r="C27"/>
  </rcc>
  <rcc rId="510" sId="2" numFmtId="4">
    <oc r="C24">
      <v>33720</v>
    </oc>
    <nc r="C24">
      <v>54421</v>
    </nc>
  </rcc>
  <rcc rId="511" sId="2" numFmtId="4">
    <oc r="C37">
      <v>2027</v>
    </oc>
    <nc r="C37">
      <v>1983</v>
    </nc>
  </rcc>
  <rcc rId="512" sId="2" numFmtId="4">
    <oc r="C38">
      <v>125727</v>
    </oc>
    <nc r="C38">
      <v>125998</v>
    </nc>
  </rcc>
  <rcc rId="513" sId="2" numFmtId="4">
    <oc r="C55">
      <v>473</v>
    </oc>
    <nc r="C55">
      <v>1050</v>
    </nc>
  </rcc>
  <rcc rId="514" sId="2" numFmtId="4">
    <oc r="C59">
      <v>35986</v>
    </oc>
    <nc r="C59">
      <v>35710</v>
    </nc>
  </rcc>
  <rcc rId="515" sId="2">
    <oc r="C60">
      <f>18024+6024</f>
    </oc>
    <nc r="C60">
      <f>17608+6024</f>
    </nc>
  </rcc>
  <rcc rId="516" sId="2" numFmtId="4">
    <oc r="C61">
      <v>187750</v>
    </oc>
    <nc r="C61">
      <v>188186</v>
    </nc>
  </rcc>
  <rcc rId="517" sId="2" numFmtId="4">
    <oc r="C62">
      <v>8415</v>
    </oc>
    <nc r="C62">
      <v>8421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" sId="2" numFmtId="4">
    <oc r="C70">
      <v>23082</v>
    </oc>
    <nc r="C70">
      <v>22827</v>
    </nc>
  </rcc>
  <rcc rId="519" sId="2">
    <oc r="C69">
      <f>200351+4890</f>
    </oc>
    <nc r="C69">
      <f>200115+4890</f>
    </nc>
  </rcc>
  <rcc rId="520" sId="2" numFmtId="4">
    <oc r="C68">
      <v>14478</v>
    </oc>
    <nc r="C68">
      <v>14479</v>
    </nc>
  </rcc>
  <rcc rId="521" sId="2" numFmtId="4">
    <oc r="C73">
      <v>15594</v>
    </oc>
    <nc r="C73">
      <v>15845</v>
    </nc>
  </rcc>
  <rcc rId="522" sId="2" numFmtId="4">
    <oc r="C93">
      <v>1990</v>
    </oc>
    <nc r="C93">
      <v>2003</v>
    </nc>
  </rcc>
  <rcc rId="523" sId="2">
    <oc r="C75">
      <f>417+318+200+664</f>
    </oc>
    <nc r="C75">
      <f>417+318+200+693</f>
    </nc>
  </rcc>
  <rcc rId="524" sId="2">
    <oc r="C89">
      <f>30384+5144+41</f>
    </oc>
    <nc r="C89">
      <f>30385+5143+40</f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" sId="2">
    <oc r="G21">
      <f>36773+1645+668</f>
    </oc>
    <nc r="G21">
      <f>36788+1644+682</f>
    </nc>
  </rcc>
  <rcc rId="526" sId="2">
    <oc r="G29">
      <f>446546-91410</f>
    </oc>
    <nc r="G29">
      <f>445295-90157</f>
    </nc>
  </rcc>
  <rcc rId="527" sId="2" numFmtId="4">
    <oc r="G32">
      <v>91410</v>
    </oc>
    <nc r="G32">
      <v>90157</v>
    </nc>
  </rcc>
  <rcc rId="528" sId="2" numFmtId="4">
    <oc r="G40">
      <v>11941</v>
    </oc>
    <nc r="G40">
      <v>11893</v>
    </nc>
  </rcc>
  <rcc rId="529" sId="2" numFmtId="4">
    <oc r="G54">
      <v>7985</v>
    </oc>
    <nc r="G54">
      <v>8472</v>
    </nc>
  </rcc>
  <rcc rId="530" sId="2" numFmtId="4">
    <oc r="G55">
      <v>7320</v>
    </oc>
    <nc r="G55">
      <v>6783</v>
    </nc>
  </rcc>
  <rcc rId="531" sId="2" numFmtId="4">
    <oc r="G52">
      <v>7593</v>
    </oc>
    <nc r="G52">
      <v>7635</v>
    </nc>
  </rcc>
  <rcc rId="532" sId="2">
    <oc r="G49">
      <f>38590+7635</f>
    </oc>
    <nc r="G49">
      <f>38589+7622</f>
    </nc>
  </rcc>
  <rcc rId="533" sId="2" numFmtId="4">
    <oc r="G62">
      <v>3691</v>
    </oc>
    <nc r="G62">
      <v>3700</v>
    </nc>
  </rcc>
  <rcc rId="534" sId="2" numFmtId="4">
    <oc r="G68">
      <v>7029</v>
    </oc>
    <nc r="G68">
      <v>7039</v>
    </nc>
  </rcc>
  <rcc rId="535" sId="2" numFmtId="4">
    <oc r="G67">
      <v>3199</v>
    </oc>
    <nc r="G67">
      <v>3206</v>
    </nc>
  </rcc>
  <rcc rId="536" sId="2">
    <oc r="G69">
      <f>6370+11583+6961</f>
    </oc>
    <nc r="G69">
      <f>6370+11583+6973</f>
    </nc>
  </rcc>
  <rcc rId="537" sId="2" numFmtId="4">
    <oc r="G64">
      <v>143109</v>
    </oc>
    <nc r="G64">
      <v>142681</v>
    </nc>
  </rcc>
  <rcc rId="538" sId="2" numFmtId="4">
    <oc r="G66">
      <v>14612</v>
    </oc>
    <nc r="G66">
      <v>14682</v>
    </nc>
  </rcc>
  <rcc rId="539" sId="2" numFmtId="4">
    <oc r="G60">
      <v>9464</v>
    </oc>
    <nc r="G60">
      <v>9467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9" sId="6">
    <oc r="E32">
      <f>12487+2880+25989+17920+3700</f>
    </oc>
    <nc r="E32">
      <f>12749+2880+25989+17920+3709</f>
    </nc>
  </rcc>
  <rcc rId="630" sId="6">
    <oc r="E31">
      <f>1694+61+272</f>
    </oc>
    <nc r="E31">
      <f>1694+4+13+272</f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5" sId="6">
    <nc r="E16">
      <f>416</f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6" sId="6">
    <nc r="F16">
      <f>32+58</f>
    </nc>
  </rcc>
  <rcc rId="1257" sId="6">
    <oc r="E16">
      <f>416</f>
    </oc>
    <nc r="E16">
      <f>416+4</f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8" sId="6" numFmtId="4">
    <nc r="E17">
      <v>2742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" sId="9" numFmtId="4">
    <oc r="C13">
      <v>15336729</v>
    </oc>
    <nc r="C13">
      <v>15286031</v>
    </nc>
  </rcc>
  <rcc rId="1260" sId="9" numFmtId="4">
    <oc r="H13">
      <v>815</v>
    </oc>
    <nc r="H13"/>
  </rcc>
  <rcc rId="1261" sId="9" numFmtId="4">
    <nc r="G13">
      <v>82</v>
    </nc>
  </rcc>
  <rcc rId="1262" sId="9">
    <oc r="F13">
      <f>133075+815</f>
    </oc>
    <nc r="F13">
      <f>136641-82</f>
    </nc>
  </rcc>
  <rcc rId="1263" sId="10" numFmtId="4">
    <nc r="H13">
      <v>1</v>
    </nc>
  </rcc>
  <rcc rId="1264" sId="10" numFmtId="4">
    <oc r="F13">
      <v>23</v>
    </oc>
    <nc r="F13">
      <f>22+1</f>
    </nc>
  </rcc>
  <rcc rId="1265" sId="8">
    <oc r="H13">
      <f>+'Справка 8 България'!H13</f>
    </oc>
    <nc r="H13"/>
  </rcc>
  <rcc rId="1266" sId="8">
    <nc r="G13">
      <f>+'Справка 8 България'!G13-'Справка 8 САЩ'!H13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7" sId="6">
    <nc r="F17">
      <f>5+271+874</f>
    </nc>
  </rcc>
  <rcc rId="1278" sId="6" numFmtId="4">
    <nc r="E18">
      <v>1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9" sId="6">
    <nc r="F18">
      <f>34</f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0" sId="6" numFmtId="4">
    <nc r="L11">
      <v>1</v>
    </nc>
  </rcc>
  <rcc rId="1281" sId="6">
    <nc r="L12">
      <f>5058</f>
    </nc>
  </rcc>
  <rcc rId="1282" sId="6">
    <nc r="M12">
      <f>96+845</f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3" sId="6" numFmtId="4">
    <nc r="L13">
      <v>3332</v>
    </nc>
  </rcc>
  <rcc rId="1284" sId="6">
    <nc r="M13">
      <f>214+44</f>
    </nc>
  </rcc>
  <rcc rId="1285" sId="6" numFmtId="4">
    <nc r="L14">
      <v>399</v>
    </nc>
  </rcc>
  <rcc rId="1286" sId="6">
    <nc r="M14">
      <f>3+34</f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7" sId="6">
    <nc r="L15">
      <f>919</f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8" sId="6">
    <nc r="M15">
      <f>44+235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1" sId="2" numFmtId="4">
    <oc r="G32">
      <v>90157</v>
    </oc>
    <nc r="G32">
      <v>89496</v>
    </nc>
  </rcc>
  <rcc rId="632" sId="2">
    <oc r="G29">
      <f>445295-90157</f>
    </oc>
    <nc r="G29">
      <f>444634-89496</f>
    </nc>
  </rcc>
  <rcc rId="633" sId="3" numFmtId="4">
    <oc r="C34">
      <v>12753</v>
    </oc>
    <nc r="C34">
      <v>12092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9" sId="6" numFmtId="4">
    <nc r="L16">
      <v>698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0" sId="6">
    <nc r="M16">
      <f>23+33</f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" sId="6" numFmtId="4">
    <nc r="L21">
      <v>10</v>
    </nc>
  </rcc>
  <rcc rId="1292" sId="6" numFmtId="4">
    <nc r="L18">
      <v>13</v>
    </nc>
  </rcc>
  <rcc rId="1293" sId="6" numFmtId="4">
    <nc r="M18">
      <v>17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4" sId="6" numFmtId="4">
    <nc r="F41">
      <v>83</v>
    </nc>
  </rcc>
  <rcc rId="1295" sId="6">
    <nc r="F23">
      <f>19+22</f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6" sId="6" numFmtId="4">
    <nc r="E24">
      <f>24+14</f>
    </nc>
  </rcc>
  <rcc rId="1307" sId="6">
    <nc r="F24">
      <f>19</f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8" sId="6" numFmtId="4">
    <nc r="E26">
      <v>449</v>
    </nc>
  </rcc>
  <rcc rId="1309" sId="6" numFmtId="4">
    <nc r="F26">
      <f>14+9</f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0" sId="6" numFmtId="4">
    <nc r="L23">
      <v>1636</v>
    </nc>
  </rcc>
  <rcc rId="1311" sId="6">
    <nc r="M23">
      <f>7+3</f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2" sId="6" numFmtId="4">
    <nc r="L24">
      <v>776</v>
    </nc>
  </rcc>
  <rcc rId="1313" sId="6">
    <nc r="M24">
      <f>13</f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4" sId="6" numFmtId="4">
    <oc r="E12">
      <v>4250</v>
    </oc>
    <nc r="E12">
      <v>4259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583A07F-2778-4A2F-A4E7-E4F6D81E5D8C}" name="Lyudmila Bondzhova" id="-664367206" dateTime="2022-02-23T12:39:4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zoomScaleNormal="100" workbookViewId="0">
      <selection activeCell="B12" sqref="B12"/>
    </sheetView>
  </sheetViews>
  <sheetFormatPr defaultColWidth="9.140625" defaultRowHeight="15.75"/>
  <cols>
    <col min="1" max="1" width="30.7109375" style="655" customWidth="1"/>
    <col min="2" max="2" width="65.7109375" style="655" customWidth="1"/>
    <col min="3" max="26" width="9.140625" style="655"/>
    <col min="27" max="27" width="9.85546875" style="655" bestFit="1" customWidth="1"/>
    <col min="28" max="16384" width="9.140625" style="655"/>
  </cols>
  <sheetData>
    <row r="1" spans="1:27">
      <c r="A1" s="1" t="s">
        <v>936</v>
      </c>
      <c r="B1" s="2"/>
      <c r="Z1" s="666">
        <v>1</v>
      </c>
      <c r="AA1" s="667">
        <f>IF(ISBLANK(_endDate),"",_endDate)</f>
        <v>44742</v>
      </c>
    </row>
    <row r="2" spans="1:27">
      <c r="A2" s="654" t="s">
        <v>937</v>
      </c>
      <c r="B2" s="649"/>
      <c r="Z2" s="666">
        <v>2</v>
      </c>
      <c r="AA2" s="667">
        <f>IF(ISBLANK(_pdeReportingDate),"",_pdeReportingDate)</f>
        <v>44799</v>
      </c>
    </row>
    <row r="3" spans="1:27">
      <c r="A3" s="650" t="s">
        <v>934</v>
      </c>
      <c r="B3" s="651"/>
      <c r="Z3" s="666">
        <v>3</v>
      </c>
      <c r="AA3" s="667" t="str">
        <f>IF(ISBLANK(_authorName),"",_authorName)</f>
        <v>ЛЮДМИЛА БОНДЖОВА</v>
      </c>
    </row>
    <row r="4" spans="1:27">
      <c r="A4" s="648" t="s">
        <v>960</v>
      </c>
      <c r="B4" s="649"/>
    </row>
    <row r="5" spans="1:27" ht="47.25">
      <c r="A5" s="652" t="s">
        <v>902</v>
      </c>
      <c r="B5" s="65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7">
        <v>44562</v>
      </c>
    </row>
    <row r="10" spans="1:27">
      <c r="A10" s="7" t="s">
        <v>2</v>
      </c>
      <c r="B10" s="547">
        <v>44742</v>
      </c>
    </row>
    <row r="11" spans="1:27">
      <c r="A11" s="7" t="s">
        <v>949</v>
      </c>
      <c r="B11" s="547">
        <v>44799</v>
      </c>
    </row>
    <row r="12" spans="1:27">
      <c r="A12" s="8"/>
      <c r="B12" s="9"/>
    </row>
    <row r="13" spans="1:27">
      <c r="A13" s="3" t="s">
        <v>945</v>
      </c>
      <c r="B13" s="4"/>
    </row>
    <row r="14" spans="1:27">
      <c r="A14" s="7" t="s">
        <v>944</v>
      </c>
      <c r="B14" s="546" t="s">
        <v>962</v>
      </c>
    </row>
    <row r="15" spans="1:27">
      <c r="A15" s="10" t="s">
        <v>941</v>
      </c>
      <c r="B15" s="548" t="s">
        <v>897</v>
      </c>
    </row>
    <row r="16" spans="1:27">
      <c r="A16" s="7" t="s">
        <v>3</v>
      </c>
      <c r="B16" s="546" t="s">
        <v>963</v>
      </c>
    </row>
    <row r="17" spans="1:2">
      <c r="A17" s="7" t="s">
        <v>894</v>
      </c>
      <c r="B17" s="546" t="s">
        <v>972</v>
      </c>
    </row>
    <row r="18" spans="1:2">
      <c r="A18" s="7" t="s">
        <v>893</v>
      </c>
      <c r="B18" s="546" t="s">
        <v>964</v>
      </c>
    </row>
    <row r="19" spans="1:2">
      <c r="A19" s="7" t="s">
        <v>4</v>
      </c>
      <c r="B19" s="546" t="s">
        <v>965</v>
      </c>
    </row>
    <row r="20" spans="1:2">
      <c r="A20" s="7" t="s">
        <v>5</v>
      </c>
      <c r="B20" s="546" t="s">
        <v>966</v>
      </c>
    </row>
    <row r="21" spans="1:2">
      <c r="A21" s="10" t="s">
        <v>6</v>
      </c>
      <c r="B21" s="548" t="s">
        <v>967</v>
      </c>
    </row>
    <row r="22" spans="1:2">
      <c r="A22" s="10" t="s">
        <v>891</v>
      </c>
      <c r="B22" s="548" t="s">
        <v>968</v>
      </c>
    </row>
    <row r="23" spans="1:2">
      <c r="A23" s="10" t="s">
        <v>7</v>
      </c>
      <c r="B23" s="656" t="s">
        <v>969</v>
      </c>
    </row>
    <row r="24" spans="1:2">
      <c r="A24" s="10" t="s">
        <v>892</v>
      </c>
      <c r="B24" s="657" t="s">
        <v>970</v>
      </c>
    </row>
    <row r="25" spans="1:2">
      <c r="A25" s="7" t="s">
        <v>895</v>
      </c>
      <c r="B25" s="658"/>
    </row>
    <row r="26" spans="1:2">
      <c r="A26" s="10" t="s">
        <v>942</v>
      </c>
      <c r="B26" s="548" t="s">
        <v>973</v>
      </c>
    </row>
    <row r="27" spans="1:2">
      <c r="A27" s="10" t="s">
        <v>943</v>
      </c>
      <c r="B27" s="548" t="s">
        <v>971</v>
      </c>
    </row>
    <row r="28" spans="1:2">
      <c r="A28" s="11"/>
      <c r="B28" s="11"/>
    </row>
    <row r="29" spans="1:2">
      <c r="A29" s="12" t="s">
        <v>961</v>
      </c>
      <c r="B29" s="13"/>
    </row>
  </sheetData>
  <sheetProtection password="E11D" sheet="1" insertRows="0"/>
  <customSheetViews>
    <customSheetView guid="{3239EBCD-0009-49F8-9CD4-7149DE51B97F}" showPageBreaks="1" fitToPage="1" printArea="1" view="pageBreakPreview">
      <selection activeCell="B26" sqref="B26:B27"/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23BEE295-D922-43C3-8F5E-52A6C7961032}" showPageBreaks="1" fitToPage="1" printArea="1" view="pageBreakPreview">
      <selection activeCell="B26" sqref="B26:B27"/>
      <pageMargins left="0.70866141732283472" right="0.70866141732283472" top="1.1811023622047245" bottom="0.74803149606299213" header="0.31496062992125984" footer="0.31496062992125984"/>
      <pageSetup paperSize="9" scale="91" orientation="portrait" r:id="rId2"/>
      <headerFooter>
        <oddHeader>&amp;R&amp;"Times New Roman,Bold Italic"&amp;12Приложение 3&amp;"Times New Roman,Bold"
Проект!</oddHeader>
      </headerFooter>
    </customSheetView>
    <customSheetView guid="{D5A9973C-5346-486A-9057-6F44650CE612}" showPageBreaks="1" fitToPage="1" printArea="1" view="pageBreakPreview">
      <selection activeCell="B12" sqref="B12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4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4"/>
  <sheetViews>
    <sheetView tabSelected="1" workbookViewId="0">
      <selection activeCell="P16" sqref="P16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669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30.06.2022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0" t="s">
        <v>453</v>
      </c>
      <c r="B8" s="715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11"/>
      <c r="B9" s="716"/>
      <c r="C9" s="713" t="s">
        <v>756</v>
      </c>
      <c r="D9" s="713" t="s">
        <v>757</v>
      </c>
      <c r="E9" s="713" t="s">
        <v>758</v>
      </c>
      <c r="F9" s="713" t="s">
        <v>759</v>
      </c>
      <c r="G9" s="104" t="s">
        <v>760</v>
      </c>
      <c r="H9" s="104"/>
      <c r="I9" s="714" t="s">
        <v>818</v>
      </c>
    </row>
    <row r="10" spans="1:22" s="103" customFormat="1" ht="24" customHeight="1">
      <c r="A10" s="711"/>
      <c r="B10" s="716"/>
      <c r="C10" s="713"/>
      <c r="D10" s="713"/>
      <c r="E10" s="713"/>
      <c r="F10" s="713"/>
      <c r="G10" s="670" t="s">
        <v>516</v>
      </c>
      <c r="H10" s="670" t="s">
        <v>517</v>
      </c>
      <c r="I10" s="714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1796</v>
      </c>
      <c r="D13" s="440"/>
      <c r="E13" s="440"/>
      <c r="F13" s="440">
        <v>23</v>
      </c>
      <c r="G13" s="440"/>
      <c r="H13" s="440">
        <v>3</v>
      </c>
      <c r="I13" s="441">
        <f>F13+G13-H13</f>
        <v>20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1796</v>
      </c>
      <c r="D18" s="447">
        <f t="shared" si="1"/>
        <v>0</v>
      </c>
      <c r="E18" s="447">
        <f t="shared" si="1"/>
        <v>0</v>
      </c>
      <c r="F18" s="447">
        <f t="shared" si="1"/>
        <v>23</v>
      </c>
      <c r="G18" s="447">
        <f t="shared" si="1"/>
        <v>0</v>
      </c>
      <c r="H18" s="447">
        <f t="shared" si="1"/>
        <v>3</v>
      </c>
      <c r="I18" s="448">
        <f t="shared" si="0"/>
        <v>20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2" t="s">
        <v>819</v>
      </c>
      <c r="B29" s="712"/>
      <c r="C29" s="712"/>
      <c r="D29" s="712"/>
      <c r="E29" s="712"/>
      <c r="F29" s="712"/>
      <c r="G29" s="712"/>
      <c r="H29" s="712"/>
      <c r="I29" s="712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949</v>
      </c>
      <c r="B31" s="672">
        <f>pdeReportingDate</f>
        <v>44799</v>
      </c>
      <c r="C31" s="672"/>
      <c r="D31" s="672"/>
      <c r="E31" s="672"/>
      <c r="F31" s="672"/>
      <c r="G31" s="115"/>
      <c r="H31" s="115"/>
      <c r="I31" s="115"/>
    </row>
    <row r="32" spans="1:16" s="107" customFormat="1">
      <c r="A32" s="661"/>
      <c r="B32" s="672"/>
      <c r="C32" s="672"/>
      <c r="D32" s="672"/>
      <c r="E32" s="672"/>
      <c r="F32" s="672"/>
      <c r="G32" s="115"/>
      <c r="H32" s="115"/>
      <c r="I32" s="115"/>
    </row>
    <row r="33" spans="1:9" s="107" customFormat="1">
      <c r="A33" s="662" t="s">
        <v>8</v>
      </c>
      <c r="B33" s="673" t="str">
        <f>authorName</f>
        <v>ЛЮДМИЛА БОНДЖОВА</v>
      </c>
      <c r="C33" s="673"/>
      <c r="D33" s="673"/>
      <c r="E33" s="673"/>
      <c r="F33" s="673"/>
      <c r="G33" s="115"/>
      <c r="H33" s="115"/>
      <c r="I33" s="115"/>
    </row>
    <row r="34" spans="1:9" s="107" customFormat="1">
      <c r="A34" s="662"/>
      <c r="B34" s="717"/>
      <c r="C34" s="717"/>
      <c r="D34" s="717"/>
      <c r="E34" s="717"/>
      <c r="F34" s="717"/>
      <c r="G34" s="717"/>
      <c r="H34" s="717"/>
      <c r="I34" s="717"/>
    </row>
    <row r="35" spans="1:9" s="107" customFormat="1">
      <c r="A35" s="662" t="s">
        <v>894</v>
      </c>
      <c r="B35" s="718"/>
      <c r="C35" s="718"/>
      <c r="D35" s="718"/>
      <c r="E35" s="718"/>
      <c r="F35" s="718"/>
      <c r="G35" s="718"/>
      <c r="H35" s="718"/>
      <c r="I35" s="718"/>
    </row>
    <row r="36" spans="1:9" s="107" customFormat="1" ht="15.75" customHeight="1">
      <c r="A36" s="668"/>
      <c r="B36" s="675" t="str">
        <f>+Начална!B17</f>
        <v>ОГНЯН ДОНЕВ</v>
      </c>
      <c r="C36" s="671"/>
      <c r="D36" s="671"/>
      <c r="E36" s="671"/>
      <c r="F36" s="671"/>
      <c r="G36" s="671"/>
      <c r="H36" s="671"/>
      <c r="I36" s="671"/>
    </row>
    <row r="37" spans="1:9" s="107" customFormat="1" ht="15.75" customHeight="1">
      <c r="A37" s="668"/>
      <c r="B37" s="671"/>
      <c r="C37" s="671"/>
      <c r="D37" s="671"/>
      <c r="E37" s="671"/>
      <c r="F37" s="671"/>
      <c r="G37" s="671"/>
      <c r="H37" s="671"/>
      <c r="I37" s="671"/>
    </row>
    <row r="38" spans="1:9" s="107" customFormat="1" ht="15.75" customHeight="1">
      <c r="A38" s="668"/>
      <c r="B38" s="671"/>
      <c r="C38" s="671"/>
      <c r="D38" s="671"/>
      <c r="E38" s="671"/>
      <c r="F38" s="671"/>
      <c r="G38" s="671"/>
      <c r="H38" s="671"/>
      <c r="I38" s="671"/>
    </row>
    <row r="39" spans="1:9" s="107" customFormat="1" ht="15.75" customHeight="1">
      <c r="A39" s="668"/>
      <c r="B39" s="671"/>
      <c r="C39" s="671"/>
      <c r="D39" s="671"/>
      <c r="E39" s="671"/>
      <c r="F39" s="671"/>
      <c r="G39" s="671"/>
      <c r="H39" s="671"/>
      <c r="I39" s="671"/>
    </row>
    <row r="40" spans="1:9" s="107" customFormat="1">
      <c r="A40" s="668"/>
      <c r="B40" s="671"/>
      <c r="C40" s="671"/>
      <c r="D40" s="671"/>
      <c r="E40" s="671"/>
      <c r="F40" s="671"/>
      <c r="G40" s="671"/>
      <c r="H40" s="671"/>
      <c r="I40" s="671"/>
    </row>
    <row r="41" spans="1:9" s="107" customFormat="1">
      <c r="A41" s="668"/>
      <c r="B41" s="671"/>
      <c r="C41" s="671"/>
      <c r="D41" s="671"/>
      <c r="E41" s="671"/>
      <c r="F41" s="671"/>
      <c r="G41" s="671"/>
      <c r="H41" s="671"/>
      <c r="I41" s="671"/>
    </row>
    <row r="42" spans="1:9" s="107" customFormat="1">
      <c r="A42" s="668"/>
      <c r="B42" s="671"/>
      <c r="C42" s="671"/>
      <c r="D42" s="671"/>
      <c r="E42" s="671"/>
      <c r="F42" s="671"/>
      <c r="G42" s="671"/>
      <c r="H42" s="671"/>
      <c r="I42" s="671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customSheetViews>
    <customSheetView guid="{3239EBCD-0009-49F8-9CD4-7149DE51B97F}" scale="85" showPageBreaks="1" fitToPage="1" view="pageBreakPreview" topLeftCell="B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1"/>
      <headerFooter alignWithMargins="0"/>
    </customSheetView>
    <customSheetView guid="{23BEE295-D922-43C3-8F5E-52A6C7961032}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2"/>
      <headerFooter alignWithMargins="0"/>
    </customSheetView>
    <customSheetView guid="{D5A9973C-5346-486A-9057-6F44650CE612}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</customSheetViews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J15"/>
  <sheetViews>
    <sheetView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31" t="s">
        <v>907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0" ht="15.75">
      <c r="A2" s="632" t="str">
        <f>CONCATENATE("на информацията, въведена в справките на ",UPPER(pdeName))</f>
        <v>на информацията, въведена в справките на СОФАРМА АД</v>
      </c>
      <c r="B2" s="632"/>
      <c r="C2" s="632"/>
      <c r="D2" s="632"/>
      <c r="E2" s="632"/>
      <c r="F2" s="632"/>
      <c r="G2" s="632"/>
      <c r="H2" s="632"/>
      <c r="I2" s="632"/>
      <c r="J2" s="633"/>
    </row>
    <row r="3" spans="1:10" ht="15.75">
      <c r="A3" s="632" t="str">
        <f>CONCATENATE("за периода от ",TEXT(startDate,"dd.mm.yyyy г.")," до ",TEXT(endDate,"dd.mm.yyyy г."))</f>
        <v>за периода от 01.01.2022 г. до 30.06.2022 г.</v>
      </c>
      <c r="B3" s="634"/>
      <c r="C3" s="634"/>
      <c r="D3" s="634"/>
      <c r="E3" s="634"/>
      <c r="F3" s="634"/>
      <c r="G3" s="634"/>
      <c r="H3" s="634"/>
      <c r="I3" s="634"/>
      <c r="J3" s="635"/>
    </row>
    <row r="5" spans="1:10" ht="25.5" customHeight="1">
      <c r="A5" s="638" t="s">
        <v>908</v>
      </c>
      <c r="B5" s="640" t="s">
        <v>910</v>
      </c>
      <c r="C5" s="641" t="s">
        <v>912</v>
      </c>
      <c r="D5" s="642" t="s">
        <v>914</v>
      </c>
      <c r="E5" s="641" t="s">
        <v>913</v>
      </c>
      <c r="F5" s="640" t="s">
        <v>911</v>
      </c>
      <c r="G5" s="639" t="s">
        <v>909</v>
      </c>
    </row>
    <row r="6" spans="1:10" ht="18.75" customHeight="1">
      <c r="A6" s="645" t="s">
        <v>955</v>
      </c>
      <c r="B6" s="636" t="s">
        <v>919</v>
      </c>
      <c r="C6" s="643">
        <f>'1-Баланс'!C95</f>
        <v>1215889</v>
      </c>
      <c r="D6" s="644">
        <f t="shared" ref="D6:D15" si="0">C6-E6</f>
        <v>0</v>
      </c>
      <c r="E6" s="643">
        <f>'1-Баланс'!G95</f>
        <v>1215889</v>
      </c>
      <c r="F6" s="637" t="s">
        <v>920</v>
      </c>
      <c r="G6" s="645" t="s">
        <v>955</v>
      </c>
    </row>
    <row r="7" spans="1:10" ht="18.75" customHeight="1">
      <c r="A7" s="645" t="s">
        <v>955</v>
      </c>
      <c r="B7" s="636" t="s">
        <v>918</v>
      </c>
      <c r="C7" s="643">
        <f>'1-Баланс'!G37</f>
        <v>686947</v>
      </c>
      <c r="D7" s="644">
        <f t="shared" si="0"/>
        <v>604351</v>
      </c>
      <c r="E7" s="643">
        <f>'1-Баланс'!G18</f>
        <v>82596</v>
      </c>
      <c r="F7" s="637" t="s">
        <v>455</v>
      </c>
      <c r="G7" s="645" t="s">
        <v>955</v>
      </c>
    </row>
    <row r="8" spans="1:10" ht="18.75" customHeight="1">
      <c r="A8" s="645" t="s">
        <v>955</v>
      </c>
      <c r="B8" s="636" t="s">
        <v>916</v>
      </c>
      <c r="C8" s="643">
        <f>ABS('1-Баланс'!G32)-ABS('1-Баланс'!G33)</f>
        <v>43365</v>
      </c>
      <c r="D8" s="644">
        <f t="shared" si="0"/>
        <v>0</v>
      </c>
      <c r="E8" s="643">
        <f>ABS('2-Отчет за доходите'!C44)-ABS('2-Отчет за доходите'!G44)</f>
        <v>43365</v>
      </c>
      <c r="F8" s="637" t="s">
        <v>917</v>
      </c>
      <c r="G8" s="646" t="s">
        <v>957</v>
      </c>
    </row>
    <row r="9" spans="1:10" ht="18.75" customHeight="1">
      <c r="A9" s="645" t="s">
        <v>955</v>
      </c>
      <c r="B9" s="636" t="s">
        <v>922</v>
      </c>
      <c r="C9" s="643">
        <f>'1-Баланс'!D92</f>
        <v>37722</v>
      </c>
      <c r="D9" s="644">
        <f t="shared" si="0"/>
        <v>5</v>
      </c>
      <c r="E9" s="643">
        <f>'3-Отчет за паричния поток'!C45</f>
        <v>37717</v>
      </c>
      <c r="F9" s="637" t="s">
        <v>921</v>
      </c>
      <c r="G9" s="646" t="s">
        <v>956</v>
      </c>
    </row>
    <row r="10" spans="1:10" ht="18.75" customHeight="1">
      <c r="A10" s="645" t="s">
        <v>955</v>
      </c>
      <c r="B10" s="636" t="s">
        <v>923</v>
      </c>
      <c r="C10" s="643">
        <f>'1-Баланс'!C92</f>
        <v>19016</v>
      </c>
      <c r="D10" s="644">
        <f t="shared" si="0"/>
        <v>4</v>
      </c>
      <c r="E10" s="643">
        <f>'3-Отчет за паричния поток'!C46</f>
        <v>19012</v>
      </c>
      <c r="F10" s="637" t="s">
        <v>924</v>
      </c>
      <c r="G10" s="646" t="s">
        <v>956</v>
      </c>
    </row>
    <row r="11" spans="1:10" ht="18.75" customHeight="1">
      <c r="A11" s="645" t="s">
        <v>955</v>
      </c>
      <c r="B11" s="636" t="s">
        <v>918</v>
      </c>
      <c r="C11" s="643">
        <f>'1-Баланс'!G37</f>
        <v>686947</v>
      </c>
      <c r="D11" s="644">
        <f t="shared" si="0"/>
        <v>0</v>
      </c>
      <c r="E11" s="643">
        <f>'4-Отчет за собствения капитал'!L34</f>
        <v>686947</v>
      </c>
      <c r="F11" s="637" t="s">
        <v>925</v>
      </c>
      <c r="G11" s="646" t="s">
        <v>958</v>
      </c>
    </row>
    <row r="12" spans="1:10" ht="18.75" customHeight="1">
      <c r="A12" s="645" t="s">
        <v>955</v>
      </c>
      <c r="B12" s="636" t="s">
        <v>926</v>
      </c>
      <c r="C12" s="643">
        <f>'1-Баланс'!C36</f>
        <v>0</v>
      </c>
      <c r="D12" s="644" t="e">
        <f t="shared" si="0"/>
        <v>#REF!</v>
      </c>
      <c r="E12" s="643" t="e">
        <f>#REF!+#REF!</f>
        <v>#REF!</v>
      </c>
      <c r="F12" s="637" t="s">
        <v>930</v>
      </c>
      <c r="G12" s="646" t="s">
        <v>959</v>
      </c>
    </row>
    <row r="13" spans="1:10" ht="18.75" customHeight="1">
      <c r="A13" s="645" t="s">
        <v>955</v>
      </c>
      <c r="B13" s="636" t="s">
        <v>927</v>
      </c>
      <c r="C13" s="643">
        <f>'1-Баланс'!C37</f>
        <v>2031</v>
      </c>
      <c r="D13" s="644" t="e">
        <f t="shared" si="0"/>
        <v>#REF!</v>
      </c>
      <c r="E13" s="643" t="e">
        <f>#REF!+#REF!</f>
        <v>#REF!</v>
      </c>
      <c r="F13" s="637" t="s">
        <v>931</v>
      </c>
      <c r="G13" s="646" t="s">
        <v>959</v>
      </c>
    </row>
    <row r="14" spans="1:10" ht="18.75" customHeight="1">
      <c r="A14" s="645" t="s">
        <v>955</v>
      </c>
      <c r="B14" s="636" t="s">
        <v>928</v>
      </c>
      <c r="C14" s="643">
        <f>'1-Баланс'!C38</f>
        <v>134958</v>
      </c>
      <c r="D14" s="644" t="e">
        <f t="shared" si="0"/>
        <v>#REF!</v>
      </c>
      <c r="E14" s="643" t="e">
        <f>#REF!+#REF!</f>
        <v>#REF!</v>
      </c>
      <c r="F14" s="637" t="s">
        <v>932</v>
      </c>
      <c r="G14" s="646" t="s">
        <v>959</v>
      </c>
    </row>
    <row r="15" spans="1:10" ht="18.75" customHeight="1">
      <c r="A15" s="645" t="s">
        <v>955</v>
      </c>
      <c r="B15" s="636" t="s">
        <v>929</v>
      </c>
      <c r="C15" s="643">
        <f>'1-Баланс'!C39</f>
        <v>5207</v>
      </c>
      <c r="D15" s="644" t="e">
        <f t="shared" si="0"/>
        <v>#REF!</v>
      </c>
      <c r="E15" s="643" t="e">
        <f>#REF!+#REF!</f>
        <v>#REF!</v>
      </c>
      <c r="F15" s="637" t="s">
        <v>933</v>
      </c>
      <c r="G15" s="646" t="s">
        <v>959</v>
      </c>
    </row>
  </sheetData>
  <sheetProtection insertRows="0"/>
  <customSheetViews>
    <customSheetView guid="{3239EBCD-0009-49F8-9CD4-7149DE51B97F}" scale="85" showPageBreaks="1" fitToPage="1" printArea="1" state="hidden" view="pageBreakPreview">
      <pageMargins left="0.70866141732283472" right="0.70866141732283472" top="1.37" bottom="1.32" header="0.31496062992125984" footer="0.31496062992125984"/>
      <pageSetup paperSize="9" scale="67" orientation="landscape" r:id="rId1"/>
    </customSheetView>
    <customSheetView guid="{23BEE295-D922-43C3-8F5E-52A6C7961032}" fitToPage="1" state="hidden">
      <pageMargins left="0.70866141732283472" right="0.70866141732283472" top="1.37" bottom="1.32" header="0.31496062992125984" footer="0.31496062992125984"/>
      <pageSetup paperSize="9" scale="67" orientation="landscape" r:id="rId2"/>
    </customSheetView>
    <customSheetView guid="{D5A9973C-5346-486A-9057-6F44650CE612}" fitToPage="1" state="hidden">
      <pageMargins left="0.70866141732283472" right="0.70866141732283472" top="1.37" bottom="1.32" header="0.31496062992125984" footer="0.31496062992125984"/>
      <pageSetup paperSize="9" scale="67" orientation="landscape" r:id="rId3"/>
    </customSheetView>
  </customSheetViews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  <pageSetUpPr fitToPage="1"/>
  </sheetPr>
  <dimension ref="A1:E24"/>
  <sheetViews>
    <sheetView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58" t="s">
        <v>861</v>
      </c>
      <c r="B1" s="558" t="s">
        <v>856</v>
      </c>
      <c r="C1" s="558" t="s">
        <v>860</v>
      </c>
      <c r="D1" s="558" t="s">
        <v>857</v>
      </c>
    </row>
    <row r="2" spans="1:5" ht="24" customHeight="1">
      <c r="A2" s="614" t="s">
        <v>855</v>
      </c>
      <c r="B2" s="612"/>
      <c r="C2" s="612"/>
      <c r="D2" s="613"/>
    </row>
    <row r="3" spans="1:5" ht="31.5">
      <c r="A3" s="561">
        <v>1</v>
      </c>
      <c r="B3" s="559" t="s">
        <v>859</v>
      </c>
      <c r="C3" s="560" t="s">
        <v>858</v>
      </c>
      <c r="D3" s="611">
        <f>(ABS('1-Баланс'!G32)-ABS('1-Баланс'!G33))/'2-Отчет за доходите'!G16</f>
        <v>5.3671945779762462E-2</v>
      </c>
      <c r="E3" s="615"/>
    </row>
    <row r="4" spans="1:5" ht="31.5">
      <c r="A4" s="561">
        <v>2</v>
      </c>
      <c r="B4" s="559" t="s">
        <v>885</v>
      </c>
      <c r="C4" s="560" t="s">
        <v>862</v>
      </c>
      <c r="D4" s="611">
        <f>(ABS('1-Баланс'!G32)-ABS('1-Баланс'!G33))/'1-Баланс'!G37</f>
        <v>6.3127140812901147E-2</v>
      </c>
    </row>
    <row r="5" spans="1:5" ht="31.5">
      <c r="A5" s="561">
        <v>3</v>
      </c>
      <c r="B5" s="559" t="s">
        <v>863</v>
      </c>
      <c r="C5" s="560" t="s">
        <v>864</v>
      </c>
      <c r="D5" s="611">
        <f>(ABS('1-Баланс'!G32)-ABS('1-Баланс'!G33))/('1-Баланс'!G56+'1-Баланс'!G79)</f>
        <v>8.4032554984982077E-2</v>
      </c>
    </row>
    <row r="6" spans="1:5" ht="31.5">
      <c r="A6" s="561">
        <v>4</v>
      </c>
      <c r="B6" s="559" t="s">
        <v>886</v>
      </c>
      <c r="C6" s="560" t="s">
        <v>865</v>
      </c>
      <c r="D6" s="611">
        <f>(ABS('1-Баланс'!G32)-ABS('1-Баланс'!G33))/('1-Баланс'!C95)</f>
        <v>3.5665262207323203E-2</v>
      </c>
    </row>
    <row r="7" spans="1:5" ht="24" customHeight="1">
      <c r="A7" s="614" t="s">
        <v>866</v>
      </c>
      <c r="B7" s="612"/>
      <c r="C7" s="612"/>
      <c r="D7" s="613"/>
    </row>
    <row r="8" spans="1:5" ht="31.5">
      <c r="A8" s="561">
        <v>5</v>
      </c>
      <c r="B8" s="559" t="s">
        <v>867</v>
      </c>
      <c r="C8" s="560" t="s">
        <v>868</v>
      </c>
      <c r="D8" s="610">
        <f>'2-Отчет за доходите'!G36/'2-Отчет за доходите'!C36</f>
        <v>1.0688739713019624</v>
      </c>
    </row>
    <row r="9" spans="1:5" ht="24" customHeight="1">
      <c r="A9" s="614" t="s">
        <v>869</v>
      </c>
      <c r="B9" s="612"/>
      <c r="C9" s="612"/>
      <c r="D9" s="613"/>
    </row>
    <row r="10" spans="1:5" ht="31.5">
      <c r="A10" s="561">
        <v>6</v>
      </c>
      <c r="B10" s="559" t="s">
        <v>870</v>
      </c>
      <c r="C10" s="560" t="s">
        <v>871</v>
      </c>
      <c r="D10" s="610">
        <f>'1-Баланс'!C94/'1-Баланс'!G79</f>
        <v>1.4663598692820385</v>
      </c>
    </row>
    <row r="11" spans="1:5" ht="63">
      <c r="A11" s="561">
        <v>7</v>
      </c>
      <c r="B11" s="559" t="s">
        <v>872</v>
      </c>
      <c r="C11" s="560" t="s">
        <v>938</v>
      </c>
      <c r="D11" s="610">
        <f>('1-Баланс'!C76+'1-Баланс'!C85+'1-Баланс'!C92)/'1-Баланс'!G79</f>
        <v>0.77870593268176858</v>
      </c>
    </row>
    <row r="12" spans="1:5" ht="47.25">
      <c r="A12" s="561">
        <v>8</v>
      </c>
      <c r="B12" s="559" t="s">
        <v>873</v>
      </c>
      <c r="C12" s="560" t="s">
        <v>939</v>
      </c>
      <c r="D12" s="610">
        <f>('1-Баланс'!C85+'1-Баланс'!C92)/'1-Баланс'!G79</f>
        <v>4.813580087533445E-2</v>
      </c>
    </row>
    <row r="13" spans="1:5" ht="31.5">
      <c r="A13" s="561">
        <v>9</v>
      </c>
      <c r="B13" s="559" t="s">
        <v>874</v>
      </c>
      <c r="C13" s="560" t="s">
        <v>875</v>
      </c>
      <c r="D13" s="610">
        <f>'1-Баланс'!C92/'1-Баланс'!G79</f>
        <v>4.813580087533445E-2</v>
      </c>
    </row>
    <row r="14" spans="1:5" ht="24" customHeight="1">
      <c r="A14" s="614" t="s">
        <v>876</v>
      </c>
      <c r="B14" s="612"/>
      <c r="C14" s="612"/>
      <c r="D14" s="613"/>
    </row>
    <row r="15" spans="1:5" ht="31.5">
      <c r="A15" s="561">
        <v>10</v>
      </c>
      <c r="B15" s="559" t="s">
        <v>890</v>
      </c>
      <c r="C15" s="560" t="s">
        <v>877</v>
      </c>
      <c r="D15" s="610">
        <f>'2-Отчет за доходите'!G16/('1-Баланс'!C20+'1-Баланс'!C21+'1-Баланс'!C22+'1-Баланс'!C28+'1-Баланс'!C65)</f>
        <v>1.174055700381585</v>
      </c>
    </row>
    <row r="16" spans="1:5" ht="31.5">
      <c r="A16" s="617">
        <v>11</v>
      </c>
      <c r="B16" s="559" t="s">
        <v>876</v>
      </c>
      <c r="C16" s="560" t="s">
        <v>889</v>
      </c>
      <c r="D16" s="618">
        <f>'2-Отчет за доходите'!G16/('1-Баланс'!C95)</f>
        <v>0.66450473686331568</v>
      </c>
    </row>
    <row r="17" spans="1:5" ht="24" customHeight="1">
      <c r="A17" s="614" t="s">
        <v>879</v>
      </c>
      <c r="B17" s="612"/>
      <c r="C17" s="612"/>
      <c r="D17" s="613"/>
    </row>
    <row r="18" spans="1:5" ht="31.5">
      <c r="A18" s="561">
        <v>12</v>
      </c>
      <c r="B18" s="559" t="s">
        <v>905</v>
      </c>
      <c r="C18" s="560" t="s">
        <v>878</v>
      </c>
      <c r="D18" s="610">
        <f>'1-Баланс'!G56/('1-Баланс'!G37+'1-Баланс'!G56)</f>
        <v>0.1497633511067544</v>
      </c>
    </row>
    <row r="19" spans="1:5" ht="31.5">
      <c r="A19" s="561">
        <v>13</v>
      </c>
      <c r="B19" s="559" t="s">
        <v>906</v>
      </c>
      <c r="C19" s="560" t="s">
        <v>880</v>
      </c>
      <c r="D19" s="610">
        <f>D4/D5</f>
        <v>0.75122243782999276</v>
      </c>
    </row>
    <row r="20" spans="1:5" ht="31.5">
      <c r="A20" s="561">
        <v>14</v>
      </c>
      <c r="B20" s="559" t="s">
        <v>881</v>
      </c>
      <c r="C20" s="560" t="s">
        <v>882</v>
      </c>
      <c r="D20" s="610">
        <f>D6/D5</f>
        <v>0.4244219661498706</v>
      </c>
    </row>
    <row r="21" spans="1:5" ht="15.75">
      <c r="A21" s="561">
        <v>15</v>
      </c>
      <c r="B21" s="559" t="s">
        <v>883</v>
      </c>
      <c r="C21" s="560" t="s">
        <v>884</v>
      </c>
      <c r="D21" s="647">
        <f>'2-Отчет за доходите'!C37+'2-Отчет за доходите'!C25</f>
        <v>55119</v>
      </c>
      <c r="E21" s="665"/>
    </row>
    <row r="22" spans="1:5" ht="47.25">
      <c r="A22" s="561">
        <v>16</v>
      </c>
      <c r="B22" s="559" t="s">
        <v>887</v>
      </c>
      <c r="C22" s="560" t="s">
        <v>888</v>
      </c>
      <c r="D22" s="616">
        <f>D21/'1-Баланс'!G37</f>
        <v>8.0237631141849369E-2</v>
      </c>
    </row>
    <row r="23" spans="1:5" ht="31.5">
      <c r="A23" s="561">
        <v>17</v>
      </c>
      <c r="B23" s="559" t="s">
        <v>951</v>
      </c>
      <c r="C23" s="560" t="s">
        <v>952</v>
      </c>
      <c r="D23" s="616">
        <f>(D21+'2-Отчет за доходите'!C14)/'2-Отчет за доходите'!G31</f>
        <v>9.9661551483534727E-2</v>
      </c>
    </row>
    <row r="24" spans="1:5" ht="31.5">
      <c r="A24" s="561">
        <v>18</v>
      </c>
      <c r="B24" s="559" t="s">
        <v>953</v>
      </c>
      <c r="C24" s="560" t="s">
        <v>954</v>
      </c>
      <c r="D24" s="616">
        <f>('1-Баланс'!G56+'1-Баланс'!G79)/(D21+'2-Отчет за доходите'!C14)</f>
        <v>6.3889714257415937</v>
      </c>
    </row>
  </sheetData>
  <sheetProtection password="D554" sheet="1" objects="1" scenarios="1" insertRows="0"/>
  <customSheetViews>
    <customSheetView guid="{3239EBCD-0009-49F8-9CD4-7149DE51B97F}" scale="90" showPageBreaks="1" fitToPage="1" printArea="1" state="hidden" view="pageBreakPreview"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23BEE295-D922-43C3-8F5E-52A6C7961032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D5A9973C-5346-486A-9057-6F44650CE612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92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FF0000"/>
  </sheetPr>
  <dimension ref="A1:N1294"/>
  <sheetViews>
    <sheetView workbookViewId="0"/>
  </sheetViews>
  <sheetFormatPr defaultColWidth="9.140625" defaultRowHeight="15.75"/>
  <cols>
    <col min="1" max="1" width="16.5703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16384" width="9.140625" style="99"/>
  </cols>
  <sheetData>
    <row r="1" spans="1:14">
      <c r="A1" s="72" t="s">
        <v>791</v>
      </c>
      <c r="B1" s="72" t="s">
        <v>904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9"/>
      <c r="F2" s="48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50">
        <f t="shared" ref="C3:C34" si="2">endDate</f>
        <v>44742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60912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50">
        <f t="shared" si="2"/>
        <v>44742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162722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50">
        <f t="shared" si="2"/>
        <v>44742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92105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50">
        <f t="shared" si="2"/>
        <v>44742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11480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50">
        <f t="shared" si="2"/>
        <v>44742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10286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50">
        <f t="shared" si="2"/>
        <v>44742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9681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50">
        <f t="shared" si="2"/>
        <v>44742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10635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50">
        <f t="shared" si="2"/>
        <v>44742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50">
        <f t="shared" si="2"/>
        <v>44742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357821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50">
        <f t="shared" si="2"/>
        <v>44742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9446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50">
        <f t="shared" si="2"/>
        <v>44742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440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50">
        <f t="shared" si="2"/>
        <v>44742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30748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50">
        <f t="shared" si="2"/>
        <v>44742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18143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50">
        <f t="shared" si="2"/>
        <v>44742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50">
        <f t="shared" si="2"/>
        <v>44742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2055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50">
        <f t="shared" si="2"/>
        <v>44742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50946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50">
        <f t="shared" si="2"/>
        <v>44742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13439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50">
        <f t="shared" si="2"/>
        <v>44742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50">
        <f t="shared" si="2"/>
        <v>44742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13439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50">
        <f t="shared" si="2"/>
        <v>44742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142196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50">
        <f t="shared" si="2"/>
        <v>44742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50">
        <f t="shared" si="2"/>
        <v>44742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2031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50">
        <f t="shared" si="2"/>
        <v>44742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134958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50">
        <f t="shared" si="2"/>
        <v>44742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5207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50">
        <f t="shared" si="2"/>
        <v>44742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50">
        <f t="shared" si="2"/>
        <v>44742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50">
        <f t="shared" si="2"/>
        <v>44742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50">
        <f t="shared" si="2"/>
        <v>44742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50">
        <f t="shared" si="2"/>
        <v>44742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50">
        <f t="shared" si="2"/>
        <v>44742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50">
        <f t="shared" si="2"/>
        <v>44742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142196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50">
        <f t="shared" si="2"/>
        <v>44742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50444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50">
        <f t="shared" ref="C35:C66" si="5">endDate</f>
        <v>44742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6397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50">
        <f t="shared" si="5"/>
        <v>44742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50">
        <f t="shared" si="5"/>
        <v>44742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4185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50">
        <f t="shared" si="5"/>
        <v>44742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61026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50">
        <f t="shared" si="5"/>
        <v>44742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50">
        <f t="shared" si="5"/>
        <v>44742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1291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50">
        <f t="shared" si="5"/>
        <v>44742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636605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50">
        <f t="shared" si="5"/>
        <v>44742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35482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50">
        <f t="shared" si="5"/>
        <v>44742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32240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50">
        <f t="shared" si="5"/>
        <v>44742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197659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50">
        <f t="shared" si="5"/>
        <v>44742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4148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50">
        <f t="shared" si="5"/>
        <v>44742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50">
        <f t="shared" si="5"/>
        <v>44742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50">
        <f t="shared" si="5"/>
        <v>44742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269529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50">
        <f t="shared" si="5"/>
        <v>44742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15998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50">
        <f t="shared" si="5"/>
        <v>44742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227490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50">
        <f t="shared" si="5"/>
        <v>44742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16619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50">
        <f t="shared" si="5"/>
        <v>44742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1816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50">
        <f t="shared" si="5"/>
        <v>44742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13712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50">
        <f t="shared" si="5"/>
        <v>44742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12147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50">
        <f t="shared" si="5"/>
        <v>44742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50">
        <f t="shared" si="5"/>
        <v>44742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829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50">
        <f t="shared" si="5"/>
        <v>44742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288611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50">
        <f t="shared" si="5"/>
        <v>44742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50">
        <f t="shared" si="5"/>
        <v>44742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50">
        <f t="shared" si="5"/>
        <v>44742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50">
        <f t="shared" si="5"/>
        <v>44742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50">
        <f t="shared" si="5"/>
        <v>44742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50">
        <f t="shared" si="5"/>
        <v>44742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50">
        <f t="shared" si="5"/>
        <v>44742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50">
        <f t="shared" si="5"/>
        <v>44742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2792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50">
        <f t="shared" si="5"/>
        <v>44742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16220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50">
        <f t="shared" ref="C67:C98" si="8">endDate</f>
        <v>44742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4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50">
        <f t="shared" si="8"/>
        <v>44742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50">
        <f t="shared" si="8"/>
        <v>44742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19016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50">
        <f t="shared" si="8"/>
        <v>44742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2128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50">
        <f t="shared" si="8"/>
        <v>44742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579284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50">
        <f t="shared" si="8"/>
        <v>44742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1215889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50">
        <f t="shared" si="8"/>
        <v>44742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50">
        <f t="shared" si="8"/>
        <v>44742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50">
        <f t="shared" si="8"/>
        <v>44742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50">
        <f t="shared" si="8"/>
        <v>44742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-52202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50">
        <f t="shared" si="8"/>
        <v>44742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50">
        <f t="shared" si="8"/>
        <v>44742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50">
        <f t="shared" si="8"/>
        <v>44742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82596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50">
        <f t="shared" si="8"/>
        <v>44742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50">
        <f t="shared" si="8"/>
        <v>44742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38597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50">
        <f t="shared" si="8"/>
        <v>44742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81140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50">
        <f t="shared" si="8"/>
        <v>44742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68628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50">
        <f t="shared" si="8"/>
        <v>44742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50">
        <f t="shared" si="8"/>
        <v>44742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12512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50">
        <f t="shared" si="8"/>
        <v>44742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119737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50">
        <f t="shared" si="8"/>
        <v>44742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441249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50">
        <f t="shared" si="8"/>
        <v>44742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441249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50">
        <f t="shared" si="8"/>
        <v>44742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50">
        <f t="shared" si="8"/>
        <v>44742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50">
        <f t="shared" si="8"/>
        <v>44742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43365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50">
        <f t="shared" si="8"/>
        <v>44742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50">
        <f t="shared" si="8"/>
        <v>44742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484614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50">
        <f t="shared" si="8"/>
        <v>44742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686947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50">
        <f t="shared" si="8"/>
        <v>44742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12892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50">
        <f t="shared" si="8"/>
        <v>44742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10962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50">
        <f t="shared" si="8"/>
        <v>44742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41998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50">
        <f t="shared" si="8"/>
        <v>44742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50">
        <f t="shared" ref="C99:C125" si="11">endDate</f>
        <v>44742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50">
        <f t="shared" si="11"/>
        <v>44742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50">
        <f t="shared" si="11"/>
        <v>44742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46046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50">
        <f t="shared" si="11"/>
        <v>44742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99006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50">
        <f t="shared" si="11"/>
        <v>44742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7626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50">
        <f t="shared" si="11"/>
        <v>44742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50">
        <f t="shared" si="11"/>
        <v>44742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7754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50">
        <f t="shared" si="11"/>
        <v>44742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6615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50">
        <f t="shared" si="11"/>
        <v>44742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121001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50">
        <f t="shared" si="11"/>
        <v>44742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175968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50">
        <f t="shared" si="11"/>
        <v>44742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9402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50">
        <f t="shared" si="11"/>
        <v>44742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184937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50">
        <f t="shared" si="11"/>
        <v>44742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3816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50">
        <f t="shared" si="11"/>
        <v>44742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50">
        <f t="shared" si="11"/>
        <v>44742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155474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50">
        <f t="shared" si="11"/>
        <v>44742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542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50">
        <f t="shared" si="11"/>
        <v>44742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15966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50">
        <f t="shared" si="11"/>
        <v>44742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3611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50">
        <f t="shared" si="11"/>
        <v>44742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5528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50">
        <f t="shared" si="11"/>
        <v>44742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24081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50">
        <f t="shared" si="11"/>
        <v>44742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50">
        <f t="shared" si="11"/>
        <v>44742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394388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50">
        <f t="shared" si="11"/>
        <v>44742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50">
        <f t="shared" si="11"/>
        <v>44742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50">
        <f t="shared" si="11"/>
        <v>44742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661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50">
        <f t="shared" si="11"/>
        <v>44742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395049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50">
        <f t="shared" si="11"/>
        <v>44742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1215889</v>
      </c>
    </row>
    <row r="126" spans="1:8" s="483" customFormat="1">
      <c r="C126" s="549"/>
      <c r="F126" s="48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50">
        <f t="shared" ref="C127:C158" si="14">endDate</f>
        <v>44742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48113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50">
        <f t="shared" si="14"/>
        <v>44742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32929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50">
        <f t="shared" si="14"/>
        <v>44742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25653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50">
        <f t="shared" si="14"/>
        <v>44742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62814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50">
        <f t="shared" si="14"/>
        <v>44742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10238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50">
        <f t="shared" si="14"/>
        <v>44742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585362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50">
        <f t="shared" si="14"/>
        <v>44742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-3182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50">
        <f t="shared" si="14"/>
        <v>44742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2591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50">
        <f t="shared" si="14"/>
        <v>44742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-685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50">
        <f t="shared" si="14"/>
        <v>44742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50">
        <f t="shared" si="14"/>
        <v>44742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764518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50">
        <f t="shared" si="14"/>
        <v>44742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2896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50">
        <f t="shared" si="14"/>
        <v>44742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50">
        <f t="shared" si="14"/>
        <v>44742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88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50">
        <f t="shared" si="14"/>
        <v>44742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706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50">
        <f t="shared" si="14"/>
        <v>44742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3690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50">
        <f t="shared" si="14"/>
        <v>44742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768208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50">
        <f t="shared" si="14"/>
        <v>44742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42255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50">
        <f t="shared" si="14"/>
        <v>44742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9968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50">
        <f t="shared" si="14"/>
        <v>44742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50">
        <f t="shared" si="14"/>
        <v>44742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758240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50">
        <f t="shared" si="14"/>
        <v>44742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52223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50">
        <f t="shared" si="14"/>
        <v>44742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5953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50">
        <f t="shared" si="14"/>
        <v>44742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5953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50">
        <f t="shared" si="14"/>
        <v>44742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50">
        <f t="shared" si="14"/>
        <v>44742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50">
        <f t="shared" si="14"/>
        <v>44742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46270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50">
        <f t="shared" si="14"/>
        <v>44742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2905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50">
        <f t="shared" si="14"/>
        <v>44742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43365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50">
        <f t="shared" si="14"/>
        <v>44742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810463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50">
        <f t="shared" si="14"/>
        <v>44742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135113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50">
        <f t="shared" si="14"/>
        <v>44742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667806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50">
        <f t="shared" ref="C159:C179" si="17">endDate</f>
        <v>44742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4064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50">
        <f t="shared" si="17"/>
        <v>44742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981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50">
        <f t="shared" si="17"/>
        <v>44742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807964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50">
        <f t="shared" si="17"/>
        <v>44742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375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50">
        <f t="shared" si="17"/>
        <v>44742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50">
        <f t="shared" si="17"/>
        <v>44742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1734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50">
        <f t="shared" si="17"/>
        <v>44742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26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50">
        <f t="shared" si="17"/>
        <v>44742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50">
        <f t="shared" si="17"/>
        <v>44742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312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50">
        <f t="shared" si="17"/>
        <v>44742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52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50">
        <f t="shared" si="17"/>
        <v>44742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2124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50">
        <f t="shared" si="17"/>
        <v>44742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810463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50">
        <f t="shared" si="17"/>
        <v>44742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50">
        <f t="shared" si="17"/>
        <v>44742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50">
        <f t="shared" si="17"/>
        <v>44742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50">
        <f t="shared" si="17"/>
        <v>44742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810463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50">
        <f t="shared" si="17"/>
        <v>44742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50">
        <f t="shared" si="17"/>
        <v>44742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50">
        <f t="shared" si="17"/>
        <v>44742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50">
        <f t="shared" si="17"/>
        <v>44742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50">
        <f t="shared" si="17"/>
        <v>44742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810463</v>
      </c>
    </row>
    <row r="180" spans="1:8" s="483" customFormat="1">
      <c r="C180" s="549"/>
      <c r="F180" s="48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50">
        <f t="shared" ref="C181:C216" si="20">endDate</f>
        <v>44742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896510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50">
        <f t="shared" si="20"/>
        <v>44742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-760656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50">
        <f t="shared" si="20"/>
        <v>44742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50">
        <f t="shared" si="20"/>
        <v>44742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-69550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50">
        <f t="shared" si="20"/>
        <v>44742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-31639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50">
        <f t="shared" si="20"/>
        <v>44742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-4134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50">
        <f t="shared" si="20"/>
        <v>44742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50">
        <f t="shared" si="20"/>
        <v>44742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-2533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50">
        <f t="shared" si="20"/>
        <v>44742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-240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50">
        <f t="shared" si="20"/>
        <v>44742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-422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50">
        <f t="shared" si="20"/>
        <v>44742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27336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50">
        <f t="shared" si="20"/>
        <v>44742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-9576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50">
        <f t="shared" si="20"/>
        <v>44742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1148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50">
        <f t="shared" si="20"/>
        <v>44742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-1500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50">
        <f t="shared" si="20"/>
        <v>44742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684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50">
        <f t="shared" si="20"/>
        <v>44742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859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50">
        <f t="shared" si="20"/>
        <v>44742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-4578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50">
        <f t="shared" si="20"/>
        <v>44742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1012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50">
        <f t="shared" si="20"/>
        <v>44742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0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50">
        <f t="shared" si="20"/>
        <v>44742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50">
        <f t="shared" si="20"/>
        <v>44742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12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50">
        <f t="shared" si="20"/>
        <v>44742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-11939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50">
        <f t="shared" si="20"/>
        <v>44742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0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50">
        <f t="shared" si="20"/>
        <v>44742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-1918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50">
        <f t="shared" si="20"/>
        <v>44742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4106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50">
        <f t="shared" si="20"/>
        <v>44742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-46441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50">
        <f t="shared" si="20"/>
        <v>44742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-8602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50">
        <f t="shared" si="20"/>
        <v>44742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-176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50">
        <f t="shared" si="20"/>
        <v>44742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-6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50">
        <f t="shared" si="20"/>
        <v>44742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18935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50">
        <f t="shared" si="20"/>
        <v>44742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-34102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50">
        <f t="shared" si="20"/>
        <v>44742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-18705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50">
        <f t="shared" si="20"/>
        <v>44742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37717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50">
        <f t="shared" si="20"/>
        <v>44742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19012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50">
        <f t="shared" si="20"/>
        <v>44742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19012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50">
        <f t="shared" si="20"/>
        <v>44742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4</v>
      </c>
    </row>
    <row r="217" spans="1:8" s="483" customFormat="1">
      <c r="C217" s="549"/>
      <c r="F217" s="48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50">
        <f t="shared" ref="C218:C281" si="23">endDate</f>
        <v>44742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84514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50">
        <f t="shared" si="23"/>
        <v>44742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50">
        <f t="shared" si="23"/>
        <v>44742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50">
        <f t="shared" si="23"/>
        <v>44742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50">
        <f t="shared" si="23"/>
        <v>44742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84514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50">
        <f t="shared" si="23"/>
        <v>44742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50">
        <f t="shared" si="23"/>
        <v>44742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50">
        <f t="shared" si="23"/>
        <v>44742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50">
        <f t="shared" si="23"/>
        <v>44742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50">
        <f t="shared" si="23"/>
        <v>44742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50">
        <f t="shared" si="23"/>
        <v>44742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50">
        <f t="shared" si="23"/>
        <v>44742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50">
        <f t="shared" si="23"/>
        <v>44742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50">
        <f t="shared" si="23"/>
        <v>44742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50">
        <f t="shared" si="23"/>
        <v>44742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50">
        <f t="shared" si="23"/>
        <v>44742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50">
        <f t="shared" si="23"/>
        <v>44742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50">
        <f t="shared" si="23"/>
        <v>44742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-1918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50">
        <f t="shared" si="23"/>
        <v>44742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82596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50">
        <f t="shared" si="23"/>
        <v>44742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50">
        <f t="shared" si="23"/>
        <v>44742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50">
        <f t="shared" si="23"/>
        <v>44742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82596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50">
        <f t="shared" si="23"/>
        <v>44742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50">
        <f t="shared" si="23"/>
        <v>44742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50">
        <f t="shared" si="23"/>
        <v>44742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50">
        <f t="shared" si="23"/>
        <v>44742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50">
        <f t="shared" si="23"/>
        <v>44742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50">
        <f t="shared" si="23"/>
        <v>44742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50">
        <f t="shared" si="23"/>
        <v>44742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50">
        <f t="shared" si="23"/>
        <v>44742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50">
        <f t="shared" si="23"/>
        <v>44742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50">
        <f t="shared" si="23"/>
        <v>44742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50">
        <f t="shared" si="23"/>
        <v>44742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50">
        <f t="shared" si="23"/>
        <v>44742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50">
        <f t="shared" si="23"/>
        <v>44742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50">
        <f t="shared" si="23"/>
        <v>44742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50">
        <f t="shared" si="23"/>
        <v>44742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50">
        <f t="shared" si="23"/>
        <v>44742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50">
        <f t="shared" si="23"/>
        <v>44742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50">
        <f t="shared" si="23"/>
        <v>44742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50">
        <f t="shared" si="23"/>
        <v>44742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50">
        <f t="shared" si="23"/>
        <v>44742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50">
        <f t="shared" si="23"/>
        <v>44742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50">
        <f t="shared" si="23"/>
        <v>44742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50">
        <f t="shared" si="23"/>
        <v>44742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39114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50">
        <f t="shared" si="23"/>
        <v>44742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50">
        <f t="shared" si="23"/>
        <v>44742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50">
        <f t="shared" si="23"/>
        <v>44742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50">
        <f t="shared" si="23"/>
        <v>44742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39114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50">
        <f t="shared" si="23"/>
        <v>44742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50">
        <f t="shared" si="23"/>
        <v>44742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50">
        <f t="shared" si="23"/>
        <v>44742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50">
        <f t="shared" si="23"/>
        <v>44742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50">
        <f t="shared" si="23"/>
        <v>44742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50">
        <f t="shared" si="23"/>
        <v>44742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0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50">
        <f t="shared" si="23"/>
        <v>44742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0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50">
        <f t="shared" si="23"/>
        <v>44742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50">
        <f t="shared" si="23"/>
        <v>44742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-419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50">
        <f t="shared" si="23"/>
        <v>44742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50">
        <f t="shared" si="23"/>
        <v>44742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419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50">
        <f t="shared" si="23"/>
        <v>44742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50">
        <f t="shared" si="23"/>
        <v>44742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-98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50">
        <f t="shared" si="23"/>
        <v>44742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38597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50">
        <f t="shared" si="23"/>
        <v>44742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50">
        <f t="shared" ref="C282:C345" si="26">endDate</f>
        <v>44742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50">
        <f t="shared" si="26"/>
        <v>44742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38597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50">
        <f t="shared" si="26"/>
        <v>44742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66201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50">
        <f t="shared" si="26"/>
        <v>44742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50">
        <f t="shared" si="26"/>
        <v>44742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50">
        <f t="shared" si="26"/>
        <v>44742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50">
        <f t="shared" si="26"/>
        <v>44742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66201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50">
        <f t="shared" si="26"/>
        <v>44742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50">
        <f t="shared" si="26"/>
        <v>44742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2427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50">
        <f t="shared" si="26"/>
        <v>44742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50">
        <f t="shared" si="26"/>
        <v>44742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2427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50">
        <f t="shared" si="26"/>
        <v>44742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50">
        <f t="shared" si="26"/>
        <v>44742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50">
        <f t="shared" si="26"/>
        <v>44742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50">
        <f t="shared" si="26"/>
        <v>44742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50">
        <f t="shared" si="26"/>
        <v>44742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50">
        <f t="shared" si="26"/>
        <v>44742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50">
        <f t="shared" si="26"/>
        <v>44742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50">
        <f t="shared" si="26"/>
        <v>44742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50">
        <f t="shared" si="26"/>
        <v>44742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50">
        <f t="shared" si="26"/>
        <v>44742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68628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50">
        <f t="shared" si="26"/>
        <v>44742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50">
        <f t="shared" si="26"/>
        <v>44742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50">
        <f t="shared" si="26"/>
        <v>44742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68628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50">
        <f t="shared" si="26"/>
        <v>44742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50">
        <f t="shared" si="26"/>
        <v>44742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50">
        <f t="shared" si="26"/>
        <v>44742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50">
        <f t="shared" si="26"/>
        <v>44742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50">
        <f t="shared" si="26"/>
        <v>44742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50">
        <f t="shared" si="26"/>
        <v>44742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50">
        <f t="shared" si="26"/>
        <v>44742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50">
        <f t="shared" si="26"/>
        <v>44742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50">
        <f t="shared" si="26"/>
        <v>44742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50">
        <f t="shared" si="26"/>
        <v>44742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50">
        <f t="shared" si="26"/>
        <v>44742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50">
        <f t="shared" si="26"/>
        <v>44742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50">
        <f t="shared" si="26"/>
        <v>44742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50">
        <f t="shared" si="26"/>
        <v>44742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50">
        <f t="shared" si="26"/>
        <v>44742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50">
        <f t="shared" si="26"/>
        <v>44742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50">
        <f t="shared" si="26"/>
        <v>44742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50">
        <f t="shared" si="26"/>
        <v>44742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50">
        <f t="shared" si="26"/>
        <v>44742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50">
        <f t="shared" si="26"/>
        <v>44742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50">
        <f t="shared" si="26"/>
        <v>44742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50">
        <f t="shared" si="26"/>
        <v>44742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50">
        <f t="shared" si="26"/>
        <v>44742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12512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50">
        <f t="shared" si="26"/>
        <v>44742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50">
        <f t="shared" si="26"/>
        <v>44742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50">
        <f t="shared" si="26"/>
        <v>44742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50">
        <f t="shared" si="26"/>
        <v>44742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12512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50">
        <f t="shared" si="26"/>
        <v>44742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50">
        <f t="shared" si="26"/>
        <v>44742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50">
        <f t="shared" si="26"/>
        <v>44742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50">
        <f t="shared" si="26"/>
        <v>44742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50">
        <f t="shared" si="26"/>
        <v>44742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50">
        <f t="shared" si="26"/>
        <v>44742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50">
        <f t="shared" si="26"/>
        <v>44742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50">
        <f t="shared" si="26"/>
        <v>44742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50">
        <f t="shared" si="26"/>
        <v>44742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50">
        <f t="shared" si="26"/>
        <v>44742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50">
        <f t="shared" si="26"/>
        <v>44742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50">
        <f t="shared" si="26"/>
        <v>44742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50">
        <f t="shared" si="26"/>
        <v>44742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0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50">
        <f t="shared" ref="C346:C409" si="29">endDate</f>
        <v>44742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12512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50">
        <f t="shared" si="29"/>
        <v>44742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50">
        <f t="shared" si="29"/>
        <v>44742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50">
        <f t="shared" si="29"/>
        <v>44742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12512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50">
        <f t="shared" si="29"/>
        <v>44742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444634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50">
        <f t="shared" si="29"/>
        <v>44742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50">
        <f t="shared" si="29"/>
        <v>44742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50">
        <f t="shared" si="29"/>
        <v>44742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50">
        <f t="shared" si="29"/>
        <v>44742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444634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50">
        <f t="shared" si="29"/>
        <v>44742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43365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50">
        <f t="shared" si="29"/>
        <v>44742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-2427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50">
        <f t="shared" si="29"/>
        <v>44742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0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50">
        <f t="shared" si="29"/>
        <v>44742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-2427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50">
        <f t="shared" si="29"/>
        <v>44742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50">
        <f t="shared" si="29"/>
        <v>44742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50">
        <f t="shared" si="29"/>
        <v>44742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50">
        <f t="shared" si="29"/>
        <v>44742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50">
        <f t="shared" si="29"/>
        <v>44742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50">
        <f t="shared" si="29"/>
        <v>44742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50">
        <f t="shared" si="29"/>
        <v>44742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50">
        <f t="shared" si="29"/>
        <v>44742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50">
        <f t="shared" si="29"/>
        <v>44742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-958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50">
        <f t="shared" si="29"/>
        <v>44742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484614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50">
        <f t="shared" si="29"/>
        <v>44742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50">
        <f t="shared" si="29"/>
        <v>44742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50">
        <f t="shared" si="29"/>
        <v>44742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484614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50">
        <f t="shared" si="29"/>
        <v>44742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50">
        <f t="shared" si="29"/>
        <v>44742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50">
        <f t="shared" si="29"/>
        <v>44742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50">
        <f t="shared" si="29"/>
        <v>44742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50">
        <f t="shared" si="29"/>
        <v>44742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50">
        <f t="shared" si="29"/>
        <v>44742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50">
        <f t="shared" si="29"/>
        <v>44742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50">
        <f t="shared" si="29"/>
        <v>44742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50">
        <f t="shared" si="29"/>
        <v>44742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50">
        <f t="shared" si="29"/>
        <v>44742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50">
        <f t="shared" si="29"/>
        <v>44742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50">
        <f t="shared" si="29"/>
        <v>44742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50">
        <f t="shared" si="29"/>
        <v>44742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50">
        <f t="shared" si="29"/>
        <v>44742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50">
        <f t="shared" si="29"/>
        <v>44742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50">
        <f t="shared" si="29"/>
        <v>44742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50">
        <f t="shared" si="29"/>
        <v>44742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50">
        <f t="shared" si="29"/>
        <v>44742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50">
        <f t="shared" si="29"/>
        <v>44742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50">
        <f t="shared" si="29"/>
        <v>44742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50">
        <f t="shared" si="29"/>
        <v>44742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50">
        <f t="shared" si="29"/>
        <v>44742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50">
        <f t="shared" si="29"/>
        <v>44742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50">
        <f t="shared" si="29"/>
        <v>44742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50">
        <f t="shared" si="29"/>
        <v>44742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50">
        <f t="shared" si="29"/>
        <v>44742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50">
        <f t="shared" si="29"/>
        <v>44742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50">
        <f t="shared" si="29"/>
        <v>44742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50">
        <f t="shared" si="29"/>
        <v>44742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50">
        <f t="shared" si="29"/>
        <v>44742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50">
        <f t="shared" si="29"/>
        <v>44742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50">
        <f t="shared" si="29"/>
        <v>44742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50">
        <f t="shared" si="29"/>
        <v>44742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50">
        <f t="shared" si="29"/>
        <v>44742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50">
        <f t="shared" si="29"/>
        <v>44742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50">
        <f t="shared" si="29"/>
        <v>44742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50">
        <f t="shared" si="29"/>
        <v>44742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50">
        <f t="shared" si="29"/>
        <v>44742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50">
        <f t="shared" ref="C410:C459" si="32">endDate</f>
        <v>44742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50">
        <f t="shared" si="32"/>
        <v>44742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50">
        <f t="shared" si="32"/>
        <v>44742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50">
        <f t="shared" si="32"/>
        <v>44742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50">
        <f t="shared" si="32"/>
        <v>44742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50">
        <f t="shared" si="32"/>
        <v>44742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50">
        <f t="shared" si="32"/>
        <v>44742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646975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50">
        <f t="shared" si="32"/>
        <v>44742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50">
        <f t="shared" si="32"/>
        <v>44742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50">
        <f t="shared" si="32"/>
        <v>44742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50">
        <f t="shared" si="32"/>
        <v>44742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646975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50">
        <f t="shared" si="32"/>
        <v>44742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43365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50">
        <f t="shared" si="32"/>
        <v>44742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0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50">
        <f t="shared" si="32"/>
        <v>44742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0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50">
        <f t="shared" si="32"/>
        <v>44742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50">
        <f t="shared" si="32"/>
        <v>44742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50">
        <f t="shared" si="32"/>
        <v>44742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0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50">
        <f t="shared" si="32"/>
        <v>44742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0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50">
        <f t="shared" si="32"/>
        <v>44742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50">
        <f t="shared" si="32"/>
        <v>44742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-419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50">
        <f t="shared" si="32"/>
        <v>44742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50">
        <f t="shared" si="32"/>
        <v>44742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419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50">
        <f t="shared" si="32"/>
        <v>44742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50">
        <f t="shared" si="32"/>
        <v>44742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-2974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50">
        <f t="shared" si="32"/>
        <v>44742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686947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50">
        <f t="shared" si="32"/>
        <v>44742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50">
        <f t="shared" si="32"/>
        <v>44742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50">
        <f t="shared" si="32"/>
        <v>44742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686947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50">
        <f t="shared" si="32"/>
        <v>44742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11893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50">
        <f t="shared" si="32"/>
        <v>44742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50">
        <f t="shared" si="32"/>
        <v>44742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50">
        <f t="shared" si="32"/>
        <v>44742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50">
        <f t="shared" si="32"/>
        <v>44742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11893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50">
        <f t="shared" si="32"/>
        <v>44742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2905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50">
        <f t="shared" si="32"/>
        <v>44742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0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50">
        <f t="shared" si="32"/>
        <v>44742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0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50">
        <f t="shared" si="32"/>
        <v>44742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50">
        <f t="shared" si="32"/>
        <v>44742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50">
        <f t="shared" si="32"/>
        <v>44742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50">
        <f t="shared" si="32"/>
        <v>44742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50">
        <f t="shared" si="32"/>
        <v>44742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50">
        <f t="shared" si="32"/>
        <v>44742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50">
        <f t="shared" si="32"/>
        <v>44742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50">
        <f t="shared" si="32"/>
        <v>44742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50">
        <f t="shared" si="32"/>
        <v>44742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50">
        <f t="shared" si="32"/>
        <v>44742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-1906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50">
        <f t="shared" si="32"/>
        <v>44742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12892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50">
        <f t="shared" si="32"/>
        <v>44742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50">
        <f t="shared" si="32"/>
        <v>44742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50">
        <f t="shared" si="32"/>
        <v>44742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12892</v>
      </c>
    </row>
    <row r="460" spans="1:8" s="483" customFormat="1">
      <c r="C460" s="549"/>
      <c r="F460" s="48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50">
        <f t="shared" ref="C461:C524" si="35">endDate</f>
        <v>44742</v>
      </c>
      <c r="D461" s="99" t="s">
        <v>523</v>
      </c>
      <c r="E461" s="482">
        <v>1</v>
      </c>
      <c r="F461" s="99" t="s">
        <v>522</v>
      </c>
      <c r="H461" s="99">
        <f>'Справка 6'!D11</f>
        <v>60907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50">
        <f t="shared" si="35"/>
        <v>44742</v>
      </c>
      <c r="D462" s="99" t="s">
        <v>526</v>
      </c>
      <c r="E462" s="482">
        <v>1</v>
      </c>
      <c r="F462" s="99" t="s">
        <v>525</v>
      </c>
      <c r="H462" s="99">
        <f>'Справка 6'!D12</f>
        <v>244851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50">
        <f t="shared" si="35"/>
        <v>44742</v>
      </c>
      <c r="D463" s="99" t="s">
        <v>529</v>
      </c>
      <c r="E463" s="482">
        <v>1</v>
      </c>
      <c r="F463" s="99" t="s">
        <v>528</v>
      </c>
      <c r="H463" s="99">
        <f>'Справка 6'!D13</f>
        <v>247035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50">
        <f t="shared" si="35"/>
        <v>44742</v>
      </c>
      <c r="D464" s="99" t="s">
        <v>532</v>
      </c>
      <c r="E464" s="482">
        <v>1</v>
      </c>
      <c r="F464" s="99" t="s">
        <v>531</v>
      </c>
      <c r="H464" s="99">
        <f>'Справка 6'!D14</f>
        <v>22736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50">
        <f t="shared" si="35"/>
        <v>44742</v>
      </c>
      <c r="D465" s="99" t="s">
        <v>535</v>
      </c>
      <c r="E465" s="482">
        <v>1</v>
      </c>
      <c r="F465" s="99" t="s">
        <v>534</v>
      </c>
      <c r="H465" s="99">
        <f>'Справка 6'!D15</f>
        <v>22368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50">
        <f t="shared" si="35"/>
        <v>44742</v>
      </c>
      <c r="D466" s="99" t="s">
        <v>537</v>
      </c>
      <c r="E466" s="482">
        <v>1</v>
      </c>
      <c r="F466" s="99" t="s">
        <v>536</v>
      </c>
      <c r="H466" s="99">
        <f>'Справка 6'!D16</f>
        <v>27888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50">
        <f t="shared" si="35"/>
        <v>44742</v>
      </c>
      <c r="D467" s="99" t="s">
        <v>540</v>
      </c>
      <c r="E467" s="482">
        <v>1</v>
      </c>
      <c r="F467" s="99" t="s">
        <v>539</v>
      </c>
      <c r="H467" s="99">
        <f>'Справка 6'!D17</f>
        <v>4798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50">
        <f t="shared" si="35"/>
        <v>44742</v>
      </c>
      <c r="D468" s="99" t="s">
        <v>543</v>
      </c>
      <c r="E468" s="482">
        <v>1</v>
      </c>
      <c r="F468" s="99" t="s">
        <v>542</v>
      </c>
      <c r="H468" s="99">
        <f>'Справка 6'!D18</f>
        <v>494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50">
        <f t="shared" si="35"/>
        <v>44742</v>
      </c>
      <c r="D469" s="99" t="s">
        <v>545</v>
      </c>
      <c r="E469" s="482">
        <v>1</v>
      </c>
      <c r="F469" s="99" t="s">
        <v>804</v>
      </c>
      <c r="H469" s="99">
        <f>'Справка 6'!D19</f>
        <v>631077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50">
        <f t="shared" si="35"/>
        <v>44742</v>
      </c>
      <c r="D470" s="99" t="s">
        <v>547</v>
      </c>
      <c r="E470" s="482">
        <v>1</v>
      </c>
      <c r="F470" s="99" t="s">
        <v>546</v>
      </c>
      <c r="H470" s="99">
        <f>'Справка 6'!D20</f>
        <v>9446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50">
        <f t="shared" si="35"/>
        <v>44742</v>
      </c>
      <c r="D471" s="99" t="s">
        <v>549</v>
      </c>
      <c r="E471" s="482">
        <v>1</v>
      </c>
      <c r="F471" s="99" t="s">
        <v>548</v>
      </c>
      <c r="H471" s="99">
        <f>'Справка 6'!D21</f>
        <v>521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50">
        <f t="shared" si="35"/>
        <v>44742</v>
      </c>
      <c r="D472" s="99" t="s">
        <v>553</v>
      </c>
      <c r="E472" s="482">
        <v>1</v>
      </c>
      <c r="F472" s="99" t="s">
        <v>552</v>
      </c>
      <c r="H472" s="99">
        <f>'Справка 6'!D23</f>
        <v>61638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50">
        <f t="shared" si="35"/>
        <v>44742</v>
      </c>
      <c r="D473" s="99" t="s">
        <v>555</v>
      </c>
      <c r="E473" s="482">
        <v>1</v>
      </c>
      <c r="F473" s="99" t="s">
        <v>554</v>
      </c>
      <c r="H473" s="99">
        <f>'Справка 6'!D24</f>
        <v>33265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50">
        <f t="shared" si="35"/>
        <v>44742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50">
        <f t="shared" si="35"/>
        <v>44742</v>
      </c>
      <c r="D475" s="99" t="s">
        <v>558</v>
      </c>
      <c r="E475" s="482">
        <v>1</v>
      </c>
      <c r="F475" s="99" t="s">
        <v>542</v>
      </c>
      <c r="H475" s="99">
        <f>'Справка 6'!D26</f>
        <v>2847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50">
        <f t="shared" si="35"/>
        <v>44742</v>
      </c>
      <c r="D476" s="99" t="s">
        <v>560</v>
      </c>
      <c r="E476" s="482">
        <v>1</v>
      </c>
      <c r="F476" s="99" t="s">
        <v>838</v>
      </c>
      <c r="H476" s="99">
        <f>'Справка 6'!D27</f>
        <v>97750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50">
        <f t="shared" si="35"/>
        <v>44742</v>
      </c>
      <c r="D477" s="99" t="s">
        <v>562</v>
      </c>
      <c r="E477" s="482">
        <v>1</v>
      </c>
      <c r="F477" s="99" t="s">
        <v>561</v>
      </c>
      <c r="H477" s="99">
        <f>'Справка 6'!D29</f>
        <v>133098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50">
        <f t="shared" si="35"/>
        <v>44742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50">
        <f t="shared" si="35"/>
        <v>44742</v>
      </c>
      <c r="D479" s="99" t="s">
        <v>564</v>
      </c>
      <c r="E479" s="482">
        <v>1</v>
      </c>
      <c r="F479" s="99" t="s">
        <v>110</v>
      </c>
      <c r="H479" s="99">
        <f>'Справка 6'!D31</f>
        <v>1983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50">
        <f t="shared" si="35"/>
        <v>44742</v>
      </c>
      <c r="D480" s="99" t="s">
        <v>565</v>
      </c>
      <c r="E480" s="482">
        <v>1</v>
      </c>
      <c r="F480" s="99" t="s">
        <v>113</v>
      </c>
      <c r="H480" s="99">
        <f>'Справка 6'!D32</f>
        <v>125337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50">
        <f t="shared" si="35"/>
        <v>44742</v>
      </c>
      <c r="D481" s="99" t="s">
        <v>566</v>
      </c>
      <c r="E481" s="482">
        <v>1</v>
      </c>
      <c r="F481" s="99" t="s">
        <v>115</v>
      </c>
      <c r="H481" s="99">
        <f>'Справка 6'!D33</f>
        <v>5778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50">
        <f t="shared" si="35"/>
        <v>44742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50">
        <f t="shared" si="35"/>
        <v>44742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50">
        <f t="shared" si="35"/>
        <v>44742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50">
        <f t="shared" si="35"/>
        <v>44742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50">
        <f t="shared" si="35"/>
        <v>44742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50">
        <f t="shared" si="35"/>
        <v>44742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50">
        <f t="shared" si="35"/>
        <v>44742</v>
      </c>
      <c r="D488" s="99" t="s">
        <v>578</v>
      </c>
      <c r="E488" s="482">
        <v>1</v>
      </c>
      <c r="F488" s="99" t="s">
        <v>803</v>
      </c>
      <c r="H488" s="99">
        <f>'Справка 6'!D40</f>
        <v>133098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50">
        <f t="shared" si="35"/>
        <v>44742</v>
      </c>
      <c r="D489" s="99" t="s">
        <v>581</v>
      </c>
      <c r="E489" s="482">
        <v>1</v>
      </c>
      <c r="F489" s="99" t="s">
        <v>580</v>
      </c>
      <c r="H489" s="99">
        <f>'Справка 6'!D41</f>
        <v>31308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50">
        <f t="shared" si="35"/>
        <v>44742</v>
      </c>
      <c r="D490" s="99" t="s">
        <v>583</v>
      </c>
      <c r="E490" s="482">
        <v>1</v>
      </c>
      <c r="F490" s="99" t="s">
        <v>582</v>
      </c>
      <c r="H490" s="99">
        <f>'Справка 6'!D42</f>
        <v>903200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50">
        <f t="shared" si="35"/>
        <v>44742</v>
      </c>
      <c r="D491" s="99" t="s">
        <v>523</v>
      </c>
      <c r="E491" s="482">
        <v>2</v>
      </c>
      <c r="F491" s="99" t="s">
        <v>522</v>
      </c>
      <c r="H491" s="99">
        <f>'Справка 6'!E11</f>
        <v>9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50">
        <f t="shared" si="35"/>
        <v>44742</v>
      </c>
      <c r="D492" s="99" t="s">
        <v>526</v>
      </c>
      <c r="E492" s="482">
        <v>2</v>
      </c>
      <c r="F492" s="99" t="s">
        <v>525</v>
      </c>
      <c r="H492" s="99">
        <f>'Справка 6'!E12</f>
        <v>7545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50">
        <f t="shared" si="35"/>
        <v>44742</v>
      </c>
      <c r="D493" s="99" t="s">
        <v>529</v>
      </c>
      <c r="E493" s="482">
        <v>2</v>
      </c>
      <c r="F493" s="99" t="s">
        <v>528</v>
      </c>
      <c r="H493" s="99">
        <f>'Справка 6'!E13</f>
        <v>1668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50">
        <f t="shared" si="35"/>
        <v>44742</v>
      </c>
      <c r="D494" s="99" t="s">
        <v>532</v>
      </c>
      <c r="E494" s="482">
        <v>2</v>
      </c>
      <c r="F494" s="99" t="s">
        <v>531</v>
      </c>
      <c r="H494" s="99">
        <f>'Справка 6'!E14</f>
        <v>62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50">
        <f t="shared" si="35"/>
        <v>44742</v>
      </c>
      <c r="D495" s="99" t="s">
        <v>535</v>
      </c>
      <c r="E495" s="482">
        <v>2</v>
      </c>
      <c r="F495" s="99" t="s">
        <v>534</v>
      </c>
      <c r="H495" s="99">
        <f>'Справка 6'!E15</f>
        <v>1912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50">
        <f t="shared" si="35"/>
        <v>44742</v>
      </c>
      <c r="D496" s="99" t="s">
        <v>537</v>
      </c>
      <c r="E496" s="482">
        <v>2</v>
      </c>
      <c r="F496" s="99" t="s">
        <v>536</v>
      </c>
      <c r="H496" s="99">
        <f>'Справка 6'!E16</f>
        <v>988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50">
        <f t="shared" si="35"/>
        <v>44742</v>
      </c>
      <c r="D497" s="99" t="s">
        <v>540</v>
      </c>
      <c r="E497" s="482">
        <v>2</v>
      </c>
      <c r="F497" s="99" t="s">
        <v>539</v>
      </c>
      <c r="H497" s="99">
        <f>'Справка 6'!E17</f>
        <v>7252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50">
        <f t="shared" si="35"/>
        <v>44742</v>
      </c>
      <c r="D498" s="99" t="s">
        <v>543</v>
      </c>
      <c r="E498" s="482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50">
        <f t="shared" si="35"/>
        <v>44742</v>
      </c>
      <c r="D499" s="99" t="s">
        <v>545</v>
      </c>
      <c r="E499" s="482">
        <v>2</v>
      </c>
      <c r="F499" s="99" t="s">
        <v>804</v>
      </c>
      <c r="H499" s="99">
        <f>'Справка 6'!E19</f>
        <v>19436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50">
        <f t="shared" si="35"/>
        <v>44742</v>
      </c>
      <c r="D500" s="99" t="s">
        <v>547</v>
      </c>
      <c r="E500" s="482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50">
        <f t="shared" si="35"/>
        <v>44742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50">
        <f t="shared" si="35"/>
        <v>44742</v>
      </c>
      <c r="D502" s="99" t="s">
        <v>553</v>
      </c>
      <c r="E502" s="482">
        <v>2</v>
      </c>
      <c r="F502" s="99" t="s">
        <v>552</v>
      </c>
      <c r="H502" s="99">
        <f>'Справка 6'!E23</f>
        <v>23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50">
        <f t="shared" si="35"/>
        <v>44742</v>
      </c>
      <c r="D503" s="99" t="s">
        <v>555</v>
      </c>
      <c r="E503" s="482">
        <v>2</v>
      </c>
      <c r="F503" s="99" t="s">
        <v>554</v>
      </c>
      <c r="H503" s="99">
        <f>'Справка 6'!E24</f>
        <v>2136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50">
        <f t="shared" si="35"/>
        <v>44742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50">
        <f t="shared" si="35"/>
        <v>44742</v>
      </c>
      <c r="D505" s="99" t="s">
        <v>558</v>
      </c>
      <c r="E505" s="482">
        <v>2</v>
      </c>
      <c r="F505" s="99" t="s">
        <v>542</v>
      </c>
      <c r="H505" s="99">
        <f>'Справка 6'!E26</f>
        <v>356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50">
        <f t="shared" si="35"/>
        <v>44742</v>
      </c>
      <c r="D506" s="99" t="s">
        <v>560</v>
      </c>
      <c r="E506" s="482">
        <v>2</v>
      </c>
      <c r="F506" s="99" t="s">
        <v>838</v>
      </c>
      <c r="H506" s="99">
        <f>'Справка 6'!E27</f>
        <v>2515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50">
        <f t="shared" si="35"/>
        <v>44742</v>
      </c>
      <c r="D507" s="99" t="s">
        <v>562</v>
      </c>
      <c r="E507" s="482">
        <v>2</v>
      </c>
      <c r="F507" s="99" t="s">
        <v>561</v>
      </c>
      <c r="H507" s="99">
        <f>'Справка 6'!E29</f>
        <v>11374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50">
        <f t="shared" si="35"/>
        <v>44742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50">
        <f t="shared" si="35"/>
        <v>44742</v>
      </c>
      <c r="D509" s="99" t="s">
        <v>564</v>
      </c>
      <c r="E509" s="482">
        <v>2</v>
      </c>
      <c r="F509" s="99" t="s">
        <v>110</v>
      </c>
      <c r="H509" s="99">
        <f>'Справка 6'!E31</f>
        <v>48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50">
        <f t="shared" si="35"/>
        <v>44742</v>
      </c>
      <c r="D510" s="99" t="s">
        <v>565</v>
      </c>
      <c r="E510" s="482">
        <v>2</v>
      </c>
      <c r="F510" s="99" t="s">
        <v>113</v>
      </c>
      <c r="H510" s="99">
        <f>'Справка 6'!E32</f>
        <v>10963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50">
        <f t="shared" si="35"/>
        <v>44742</v>
      </c>
      <c r="D511" s="99" t="s">
        <v>566</v>
      </c>
      <c r="E511" s="482">
        <v>2</v>
      </c>
      <c r="F511" s="99" t="s">
        <v>115</v>
      </c>
      <c r="H511" s="99">
        <f>'Справка 6'!E33</f>
        <v>363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50">
        <f t="shared" si="35"/>
        <v>44742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50">
        <f t="shared" si="35"/>
        <v>44742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50">
        <f t="shared" si="35"/>
        <v>44742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50">
        <f t="shared" si="35"/>
        <v>44742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50">
        <f t="shared" si="35"/>
        <v>44742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50">
        <f t="shared" si="35"/>
        <v>44742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50">
        <f t="shared" si="35"/>
        <v>44742</v>
      </c>
      <c r="D518" s="99" t="s">
        <v>578</v>
      </c>
      <c r="E518" s="482">
        <v>2</v>
      </c>
      <c r="F518" s="99" t="s">
        <v>803</v>
      </c>
      <c r="H518" s="99">
        <f>'Справка 6'!E40</f>
        <v>11374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50">
        <f t="shared" si="35"/>
        <v>44742</v>
      </c>
      <c r="D519" s="99" t="s">
        <v>581</v>
      </c>
      <c r="E519" s="482">
        <v>2</v>
      </c>
      <c r="F519" s="99" t="s">
        <v>580</v>
      </c>
      <c r="H519" s="99">
        <f>'Справка 6'!E41</f>
        <v>19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50">
        <f t="shared" si="35"/>
        <v>44742</v>
      </c>
      <c r="D520" s="99" t="s">
        <v>583</v>
      </c>
      <c r="E520" s="482">
        <v>2</v>
      </c>
      <c r="F520" s="99" t="s">
        <v>582</v>
      </c>
      <c r="H520" s="99">
        <f>'Справка 6'!E42</f>
        <v>33344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50">
        <f t="shared" si="35"/>
        <v>44742</v>
      </c>
      <c r="D521" s="99" t="s">
        <v>523</v>
      </c>
      <c r="E521" s="482">
        <v>3</v>
      </c>
      <c r="F521" s="99" t="s">
        <v>522</v>
      </c>
      <c r="H521" s="99">
        <f>'Справка 6'!F11</f>
        <v>0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50">
        <f t="shared" si="35"/>
        <v>44742</v>
      </c>
      <c r="D522" s="99" t="s">
        <v>526</v>
      </c>
      <c r="E522" s="482">
        <v>3</v>
      </c>
      <c r="F522" s="99" t="s">
        <v>525</v>
      </c>
      <c r="H522" s="99">
        <f>'Справка 6'!F12</f>
        <v>2235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50">
        <f t="shared" si="35"/>
        <v>44742</v>
      </c>
      <c r="D523" s="99" t="s">
        <v>529</v>
      </c>
      <c r="E523" s="482">
        <v>3</v>
      </c>
      <c r="F523" s="99" t="s">
        <v>528</v>
      </c>
      <c r="H523" s="99">
        <f>'Справка 6'!F13</f>
        <v>392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50">
        <f t="shared" si="35"/>
        <v>44742</v>
      </c>
      <c r="D524" s="99" t="s">
        <v>532</v>
      </c>
      <c r="E524" s="482">
        <v>3</v>
      </c>
      <c r="F524" s="99" t="s">
        <v>531</v>
      </c>
      <c r="H524" s="99">
        <f>'Справка 6'!F14</f>
        <v>34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50">
        <f t="shared" ref="C525:C588" si="38">endDate</f>
        <v>44742</v>
      </c>
      <c r="D525" s="99" t="s">
        <v>535</v>
      </c>
      <c r="E525" s="482">
        <v>3</v>
      </c>
      <c r="F525" s="99" t="s">
        <v>534</v>
      </c>
      <c r="H525" s="99">
        <f>'Справка 6'!F15</f>
        <v>518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50">
        <f t="shared" si="38"/>
        <v>44742</v>
      </c>
      <c r="D526" s="99" t="s">
        <v>537</v>
      </c>
      <c r="E526" s="482">
        <v>3</v>
      </c>
      <c r="F526" s="99" t="s">
        <v>536</v>
      </c>
      <c r="H526" s="99">
        <f>'Справка 6'!F16</f>
        <v>446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50">
        <f t="shared" si="38"/>
        <v>44742</v>
      </c>
      <c r="D527" s="99" t="s">
        <v>540</v>
      </c>
      <c r="E527" s="482">
        <v>3</v>
      </c>
      <c r="F527" s="99" t="s">
        <v>539</v>
      </c>
      <c r="H527" s="99">
        <f>'Справка 6'!F17</f>
        <v>1415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50">
        <f t="shared" si="38"/>
        <v>44742</v>
      </c>
      <c r="D528" s="99" t="s">
        <v>543</v>
      </c>
      <c r="E528" s="482">
        <v>3</v>
      </c>
      <c r="F528" s="99" t="s">
        <v>542</v>
      </c>
      <c r="H528" s="99">
        <f>'Справка 6'!F18</f>
        <v>494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50">
        <f t="shared" si="38"/>
        <v>44742</v>
      </c>
      <c r="D529" s="99" t="s">
        <v>545</v>
      </c>
      <c r="E529" s="482">
        <v>3</v>
      </c>
      <c r="F529" s="99" t="s">
        <v>804</v>
      </c>
      <c r="H529" s="99">
        <f>'Справка 6'!F19</f>
        <v>5534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50">
        <f t="shared" si="38"/>
        <v>44742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50">
        <f t="shared" si="38"/>
        <v>44742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50">
        <f t="shared" si="38"/>
        <v>44742</v>
      </c>
      <c r="D532" s="99" t="s">
        <v>553</v>
      </c>
      <c r="E532" s="482">
        <v>3</v>
      </c>
      <c r="F532" s="99" t="s">
        <v>552</v>
      </c>
      <c r="H532" s="99">
        <f>'Справка 6'!F23</f>
        <v>30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50">
        <f t="shared" si="38"/>
        <v>44742</v>
      </c>
      <c r="D533" s="99" t="s">
        <v>555</v>
      </c>
      <c r="E533" s="482">
        <v>3</v>
      </c>
      <c r="F533" s="99" t="s">
        <v>554</v>
      </c>
      <c r="H533" s="99">
        <f>'Справка 6'!F24</f>
        <v>3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50">
        <f t="shared" si="38"/>
        <v>44742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50">
        <f t="shared" si="38"/>
        <v>44742</v>
      </c>
      <c r="D535" s="99" t="s">
        <v>558</v>
      </c>
      <c r="E535" s="482">
        <v>3</v>
      </c>
      <c r="F535" s="99" t="s">
        <v>542</v>
      </c>
      <c r="H535" s="99">
        <f>'Справка 6'!F26</f>
        <v>1148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50">
        <f t="shared" si="38"/>
        <v>44742</v>
      </c>
      <c r="D536" s="99" t="s">
        <v>560</v>
      </c>
      <c r="E536" s="482">
        <v>3</v>
      </c>
      <c r="F536" s="99" t="s">
        <v>838</v>
      </c>
      <c r="H536" s="99">
        <f>'Справка 6'!F27</f>
        <v>1181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50">
        <f t="shared" si="38"/>
        <v>44742</v>
      </c>
      <c r="D537" s="99" t="s">
        <v>562</v>
      </c>
      <c r="E537" s="482">
        <v>3</v>
      </c>
      <c r="F537" s="99" t="s">
        <v>561</v>
      </c>
      <c r="H537" s="99">
        <f>'Справка 6'!F29</f>
        <v>1857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50">
        <f t="shared" si="38"/>
        <v>44742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50">
        <f t="shared" si="38"/>
        <v>44742</v>
      </c>
      <c r="D539" s="99" t="s">
        <v>564</v>
      </c>
      <c r="E539" s="48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50">
        <f t="shared" si="38"/>
        <v>44742</v>
      </c>
      <c r="D540" s="99" t="s">
        <v>565</v>
      </c>
      <c r="E540" s="482">
        <v>3</v>
      </c>
      <c r="F540" s="99" t="s">
        <v>113</v>
      </c>
      <c r="H540" s="99">
        <f>'Справка 6'!F32</f>
        <v>1342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50">
        <f t="shared" si="38"/>
        <v>44742</v>
      </c>
      <c r="D541" s="99" t="s">
        <v>566</v>
      </c>
      <c r="E541" s="482">
        <v>3</v>
      </c>
      <c r="F541" s="99" t="s">
        <v>115</v>
      </c>
      <c r="H541" s="99">
        <f>'Справка 6'!F33</f>
        <v>515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50">
        <f t="shared" si="38"/>
        <v>44742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50">
        <f t="shared" si="38"/>
        <v>44742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50">
        <f t="shared" si="38"/>
        <v>44742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50">
        <f t="shared" si="38"/>
        <v>44742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50">
        <f t="shared" si="38"/>
        <v>44742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50">
        <f t="shared" si="38"/>
        <v>44742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50">
        <f t="shared" si="38"/>
        <v>44742</v>
      </c>
      <c r="D548" s="99" t="s">
        <v>578</v>
      </c>
      <c r="E548" s="482">
        <v>3</v>
      </c>
      <c r="F548" s="99" t="s">
        <v>803</v>
      </c>
      <c r="H548" s="99">
        <f>'Справка 6'!F40</f>
        <v>1857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50">
        <f t="shared" si="38"/>
        <v>44742</v>
      </c>
      <c r="D549" s="99" t="s">
        <v>581</v>
      </c>
      <c r="E549" s="482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50">
        <f t="shared" si="38"/>
        <v>44742</v>
      </c>
      <c r="D550" s="99" t="s">
        <v>583</v>
      </c>
      <c r="E550" s="482">
        <v>3</v>
      </c>
      <c r="F550" s="99" t="s">
        <v>582</v>
      </c>
      <c r="H550" s="99">
        <f>'Справка 6'!F42</f>
        <v>8572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50">
        <f t="shared" si="38"/>
        <v>44742</v>
      </c>
      <c r="D551" s="99" t="s">
        <v>523</v>
      </c>
      <c r="E551" s="482">
        <v>4</v>
      </c>
      <c r="F551" s="99" t="s">
        <v>522</v>
      </c>
      <c r="H551" s="99">
        <f>'Справка 6'!G11</f>
        <v>60916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50">
        <f t="shared" si="38"/>
        <v>44742</v>
      </c>
      <c r="D552" s="99" t="s">
        <v>526</v>
      </c>
      <c r="E552" s="482">
        <v>4</v>
      </c>
      <c r="F552" s="99" t="s">
        <v>525</v>
      </c>
      <c r="H552" s="99">
        <f>'Справка 6'!G12</f>
        <v>250161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50">
        <f t="shared" si="38"/>
        <v>44742</v>
      </c>
      <c r="D553" s="99" t="s">
        <v>529</v>
      </c>
      <c r="E553" s="482">
        <v>4</v>
      </c>
      <c r="F553" s="99" t="s">
        <v>528</v>
      </c>
      <c r="H553" s="99">
        <f>'Справка 6'!G13</f>
        <v>248311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50">
        <f t="shared" si="38"/>
        <v>44742</v>
      </c>
      <c r="D554" s="99" t="s">
        <v>532</v>
      </c>
      <c r="E554" s="482">
        <v>4</v>
      </c>
      <c r="F554" s="99" t="s">
        <v>531</v>
      </c>
      <c r="H554" s="99">
        <f>'Справка 6'!G14</f>
        <v>22764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50">
        <f t="shared" si="38"/>
        <v>44742</v>
      </c>
      <c r="D555" s="99" t="s">
        <v>535</v>
      </c>
      <c r="E555" s="482">
        <v>4</v>
      </c>
      <c r="F555" s="99" t="s">
        <v>534</v>
      </c>
      <c r="H555" s="99">
        <f>'Справка 6'!G15</f>
        <v>23762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50">
        <f t="shared" si="38"/>
        <v>44742</v>
      </c>
      <c r="D556" s="99" t="s">
        <v>537</v>
      </c>
      <c r="E556" s="482">
        <v>4</v>
      </c>
      <c r="F556" s="99" t="s">
        <v>536</v>
      </c>
      <c r="H556" s="99">
        <f>'Справка 6'!G16</f>
        <v>28430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50">
        <f t="shared" si="38"/>
        <v>44742</v>
      </c>
      <c r="D557" s="99" t="s">
        <v>540</v>
      </c>
      <c r="E557" s="482">
        <v>4</v>
      </c>
      <c r="F557" s="99" t="s">
        <v>539</v>
      </c>
      <c r="H557" s="99">
        <f>'Справка 6'!G17</f>
        <v>10635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50">
        <f t="shared" si="38"/>
        <v>44742</v>
      </c>
      <c r="D558" s="99" t="s">
        <v>543</v>
      </c>
      <c r="E558" s="482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50">
        <f t="shared" si="38"/>
        <v>44742</v>
      </c>
      <c r="D559" s="99" t="s">
        <v>545</v>
      </c>
      <c r="E559" s="482">
        <v>4</v>
      </c>
      <c r="F559" s="99" t="s">
        <v>804</v>
      </c>
      <c r="H559" s="99">
        <f>'Справка 6'!G19</f>
        <v>644979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50">
        <f t="shared" si="38"/>
        <v>44742</v>
      </c>
      <c r="D560" s="99" t="s">
        <v>547</v>
      </c>
      <c r="E560" s="482">
        <v>4</v>
      </c>
      <c r="F560" s="99" t="s">
        <v>546</v>
      </c>
      <c r="H560" s="99">
        <f>'Справка 6'!G20</f>
        <v>9446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50">
        <f t="shared" si="38"/>
        <v>44742</v>
      </c>
      <c r="D561" s="99" t="s">
        <v>549</v>
      </c>
      <c r="E561" s="482">
        <v>4</v>
      </c>
      <c r="F561" s="99" t="s">
        <v>548</v>
      </c>
      <c r="H561" s="99">
        <f>'Справка 6'!G21</f>
        <v>521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50">
        <f t="shared" si="38"/>
        <v>44742</v>
      </c>
      <c r="D562" s="99" t="s">
        <v>553</v>
      </c>
      <c r="E562" s="482">
        <v>4</v>
      </c>
      <c r="F562" s="99" t="s">
        <v>552</v>
      </c>
      <c r="H562" s="99">
        <f>'Справка 6'!G23</f>
        <v>61631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50">
        <f t="shared" si="38"/>
        <v>44742</v>
      </c>
      <c r="D563" s="99" t="s">
        <v>555</v>
      </c>
      <c r="E563" s="482">
        <v>4</v>
      </c>
      <c r="F563" s="99" t="s">
        <v>554</v>
      </c>
      <c r="H563" s="99">
        <f>'Справка 6'!G24</f>
        <v>35398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50">
        <f t="shared" si="38"/>
        <v>44742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50">
        <f t="shared" si="38"/>
        <v>44742</v>
      </c>
      <c r="D565" s="99" t="s">
        <v>558</v>
      </c>
      <c r="E565" s="482">
        <v>4</v>
      </c>
      <c r="F565" s="99" t="s">
        <v>542</v>
      </c>
      <c r="H565" s="99">
        <f>'Справка 6'!G26</f>
        <v>2055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50">
        <f t="shared" si="38"/>
        <v>44742</v>
      </c>
      <c r="D566" s="99" t="s">
        <v>560</v>
      </c>
      <c r="E566" s="482">
        <v>4</v>
      </c>
      <c r="F566" s="99" t="s">
        <v>838</v>
      </c>
      <c r="H566" s="99">
        <f>'Справка 6'!G27</f>
        <v>99084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50">
        <f t="shared" si="38"/>
        <v>44742</v>
      </c>
      <c r="D567" s="99" t="s">
        <v>562</v>
      </c>
      <c r="E567" s="482">
        <v>4</v>
      </c>
      <c r="F567" s="99" t="s">
        <v>561</v>
      </c>
      <c r="H567" s="99">
        <f>'Справка 6'!G29</f>
        <v>142615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50">
        <f t="shared" si="38"/>
        <v>44742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50">
        <f t="shared" si="38"/>
        <v>44742</v>
      </c>
      <c r="D569" s="99" t="s">
        <v>564</v>
      </c>
      <c r="E569" s="482">
        <v>4</v>
      </c>
      <c r="F569" s="99" t="s">
        <v>110</v>
      </c>
      <c r="H569" s="99">
        <f>'Справка 6'!G31</f>
        <v>2031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50">
        <f t="shared" si="38"/>
        <v>44742</v>
      </c>
      <c r="D570" s="99" t="s">
        <v>565</v>
      </c>
      <c r="E570" s="482">
        <v>4</v>
      </c>
      <c r="F570" s="99" t="s">
        <v>113</v>
      </c>
      <c r="H570" s="99">
        <f>'Справка 6'!G32</f>
        <v>134958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50">
        <f t="shared" si="38"/>
        <v>44742</v>
      </c>
      <c r="D571" s="99" t="s">
        <v>566</v>
      </c>
      <c r="E571" s="482">
        <v>4</v>
      </c>
      <c r="F571" s="99" t="s">
        <v>115</v>
      </c>
      <c r="H571" s="99">
        <f>'Справка 6'!G33</f>
        <v>5626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50">
        <f t="shared" si="38"/>
        <v>44742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50">
        <f t="shared" si="38"/>
        <v>44742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50">
        <f t="shared" si="38"/>
        <v>44742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50">
        <f t="shared" si="38"/>
        <v>44742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50">
        <f t="shared" si="38"/>
        <v>44742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50">
        <f t="shared" si="38"/>
        <v>44742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50">
        <f t="shared" si="38"/>
        <v>44742</v>
      </c>
      <c r="D578" s="99" t="s">
        <v>578</v>
      </c>
      <c r="E578" s="482">
        <v>4</v>
      </c>
      <c r="F578" s="99" t="s">
        <v>803</v>
      </c>
      <c r="H578" s="99">
        <f>'Справка 6'!G40</f>
        <v>142615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50">
        <f t="shared" si="38"/>
        <v>44742</v>
      </c>
      <c r="D579" s="99" t="s">
        <v>581</v>
      </c>
      <c r="E579" s="482">
        <v>4</v>
      </c>
      <c r="F579" s="99" t="s">
        <v>580</v>
      </c>
      <c r="H579" s="99">
        <f>'Справка 6'!G41</f>
        <v>31327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50">
        <f t="shared" si="38"/>
        <v>44742</v>
      </c>
      <c r="D580" s="99" t="s">
        <v>583</v>
      </c>
      <c r="E580" s="482">
        <v>4</v>
      </c>
      <c r="F580" s="99" t="s">
        <v>582</v>
      </c>
      <c r="H580" s="99">
        <f>'Справка 6'!G42</f>
        <v>927972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50">
        <f t="shared" si="38"/>
        <v>44742</v>
      </c>
      <c r="D581" s="99" t="s">
        <v>523</v>
      </c>
      <c r="E581" s="482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50">
        <f t="shared" si="38"/>
        <v>44742</v>
      </c>
      <c r="D582" s="99" t="s">
        <v>526</v>
      </c>
      <c r="E582" s="482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50">
        <f t="shared" si="38"/>
        <v>44742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50">
        <f t="shared" si="38"/>
        <v>44742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50">
        <f t="shared" si="38"/>
        <v>44742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50">
        <f t="shared" si="38"/>
        <v>44742</v>
      </c>
      <c r="D586" s="99" t="s">
        <v>537</v>
      </c>
      <c r="E586" s="482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50">
        <f t="shared" si="38"/>
        <v>44742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50">
        <f t="shared" si="38"/>
        <v>44742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50">
        <f t="shared" ref="C589:C652" si="41">endDate</f>
        <v>44742</v>
      </c>
      <c r="D589" s="99" t="s">
        <v>545</v>
      </c>
      <c r="E589" s="482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50">
        <f t="shared" si="41"/>
        <v>44742</v>
      </c>
      <c r="D590" s="99" t="s">
        <v>547</v>
      </c>
      <c r="E590" s="482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50">
        <f t="shared" si="41"/>
        <v>44742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50">
        <f t="shared" si="41"/>
        <v>44742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50">
        <f t="shared" si="41"/>
        <v>44742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50">
        <f t="shared" si="41"/>
        <v>44742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50">
        <f t="shared" si="41"/>
        <v>44742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50">
        <f t="shared" si="41"/>
        <v>44742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50">
        <f t="shared" si="41"/>
        <v>44742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50">
        <f t="shared" si="41"/>
        <v>44742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50">
        <f t="shared" si="41"/>
        <v>44742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50">
        <f t="shared" si="41"/>
        <v>44742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50">
        <f t="shared" si="41"/>
        <v>44742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50">
        <f t="shared" si="41"/>
        <v>44742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50">
        <f t="shared" si="41"/>
        <v>44742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50">
        <f t="shared" si="41"/>
        <v>44742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50">
        <f t="shared" si="41"/>
        <v>44742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50">
        <f t="shared" si="41"/>
        <v>44742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50">
        <f t="shared" si="41"/>
        <v>44742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50">
        <f t="shared" si="41"/>
        <v>44742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50">
        <f t="shared" si="41"/>
        <v>44742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50">
        <f t="shared" si="41"/>
        <v>44742</v>
      </c>
      <c r="D610" s="99" t="s">
        <v>583</v>
      </c>
      <c r="E610" s="482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50">
        <f t="shared" si="41"/>
        <v>44742</v>
      </c>
      <c r="D611" s="99" t="s">
        <v>523</v>
      </c>
      <c r="E611" s="482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50">
        <f t="shared" si="41"/>
        <v>44742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50">
        <f t="shared" si="41"/>
        <v>44742</v>
      </c>
      <c r="D613" s="99" t="s">
        <v>529</v>
      </c>
      <c r="E613" s="482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50">
        <f t="shared" si="41"/>
        <v>44742</v>
      </c>
      <c r="D614" s="99" t="s">
        <v>532</v>
      </c>
      <c r="E614" s="482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50">
        <f t="shared" si="41"/>
        <v>44742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50">
        <f t="shared" si="41"/>
        <v>44742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50">
        <f t="shared" si="41"/>
        <v>44742</v>
      </c>
      <c r="D617" s="99" t="s">
        <v>540</v>
      </c>
      <c r="E617" s="482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50">
        <f t="shared" si="41"/>
        <v>44742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50">
        <f t="shared" si="41"/>
        <v>44742</v>
      </c>
      <c r="D619" s="99" t="s">
        <v>545</v>
      </c>
      <c r="E619" s="482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50">
        <f t="shared" si="41"/>
        <v>44742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50">
        <f t="shared" si="41"/>
        <v>44742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50">
        <f t="shared" si="41"/>
        <v>44742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50">
        <f t="shared" si="41"/>
        <v>44742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50">
        <f t="shared" si="41"/>
        <v>44742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50">
        <f t="shared" si="41"/>
        <v>44742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50">
        <f t="shared" si="41"/>
        <v>44742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50">
        <f t="shared" si="41"/>
        <v>44742</v>
      </c>
      <c r="D627" s="99" t="s">
        <v>562</v>
      </c>
      <c r="E627" s="482">
        <v>6</v>
      </c>
      <c r="F627" s="99" t="s">
        <v>561</v>
      </c>
      <c r="H627" s="99">
        <f>'Справка 6'!I29</f>
        <v>419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50">
        <f t="shared" si="41"/>
        <v>44742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50">
        <f t="shared" si="41"/>
        <v>44742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50">
        <f t="shared" si="41"/>
        <v>44742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50">
        <f t="shared" si="41"/>
        <v>44742</v>
      </c>
      <c r="D631" s="99" t="s">
        <v>566</v>
      </c>
      <c r="E631" s="482">
        <v>6</v>
      </c>
      <c r="F631" s="99" t="s">
        <v>115</v>
      </c>
      <c r="H631" s="99">
        <f>'Справка 6'!I33</f>
        <v>419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50">
        <f t="shared" si="41"/>
        <v>44742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50">
        <f t="shared" si="41"/>
        <v>44742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50">
        <f t="shared" si="41"/>
        <v>44742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50">
        <f t="shared" si="41"/>
        <v>44742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50">
        <f t="shared" si="41"/>
        <v>44742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50">
        <f t="shared" si="41"/>
        <v>44742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50">
        <f t="shared" si="41"/>
        <v>44742</v>
      </c>
      <c r="D638" s="99" t="s">
        <v>578</v>
      </c>
      <c r="E638" s="482">
        <v>6</v>
      </c>
      <c r="F638" s="99" t="s">
        <v>803</v>
      </c>
      <c r="H638" s="99">
        <f>'Справка 6'!I40</f>
        <v>419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50">
        <f t="shared" si="41"/>
        <v>44742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50">
        <f t="shared" si="41"/>
        <v>44742</v>
      </c>
      <c r="D640" s="99" t="s">
        <v>583</v>
      </c>
      <c r="E640" s="482">
        <v>6</v>
      </c>
      <c r="F640" s="99" t="s">
        <v>582</v>
      </c>
      <c r="H640" s="99">
        <f>'Справка 6'!I42</f>
        <v>419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50">
        <f t="shared" si="41"/>
        <v>44742</v>
      </c>
      <c r="D641" s="99" t="s">
        <v>523</v>
      </c>
      <c r="E641" s="482">
        <v>7</v>
      </c>
      <c r="F641" s="99" t="s">
        <v>522</v>
      </c>
      <c r="H641" s="99">
        <f>'Справка 6'!J11</f>
        <v>60916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50">
        <f t="shared" si="41"/>
        <v>44742</v>
      </c>
      <c r="D642" s="99" t="s">
        <v>526</v>
      </c>
      <c r="E642" s="482">
        <v>7</v>
      </c>
      <c r="F642" s="99" t="s">
        <v>525</v>
      </c>
      <c r="H642" s="99">
        <f>'Справка 6'!J12</f>
        <v>250161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50">
        <f t="shared" si="41"/>
        <v>44742</v>
      </c>
      <c r="D643" s="99" t="s">
        <v>529</v>
      </c>
      <c r="E643" s="482">
        <v>7</v>
      </c>
      <c r="F643" s="99" t="s">
        <v>528</v>
      </c>
      <c r="H643" s="99">
        <f>'Справка 6'!J13</f>
        <v>248311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50">
        <f t="shared" si="41"/>
        <v>44742</v>
      </c>
      <c r="D644" s="99" t="s">
        <v>532</v>
      </c>
      <c r="E644" s="482">
        <v>7</v>
      </c>
      <c r="F644" s="99" t="s">
        <v>531</v>
      </c>
      <c r="H644" s="99">
        <f>'Справка 6'!J14</f>
        <v>22764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50">
        <f t="shared" si="41"/>
        <v>44742</v>
      </c>
      <c r="D645" s="99" t="s">
        <v>535</v>
      </c>
      <c r="E645" s="482">
        <v>7</v>
      </c>
      <c r="F645" s="99" t="s">
        <v>534</v>
      </c>
      <c r="H645" s="99">
        <f>'Справка 6'!J15</f>
        <v>23762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50">
        <f t="shared" si="41"/>
        <v>44742</v>
      </c>
      <c r="D646" s="99" t="s">
        <v>537</v>
      </c>
      <c r="E646" s="482">
        <v>7</v>
      </c>
      <c r="F646" s="99" t="s">
        <v>536</v>
      </c>
      <c r="H646" s="99">
        <f>'Справка 6'!J16</f>
        <v>28430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50">
        <f t="shared" si="41"/>
        <v>44742</v>
      </c>
      <c r="D647" s="99" t="s">
        <v>540</v>
      </c>
      <c r="E647" s="482">
        <v>7</v>
      </c>
      <c r="F647" s="99" t="s">
        <v>539</v>
      </c>
      <c r="H647" s="99">
        <f>'Справка 6'!J17</f>
        <v>10635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50">
        <f t="shared" si="41"/>
        <v>44742</v>
      </c>
      <c r="D648" s="99" t="s">
        <v>543</v>
      </c>
      <c r="E648" s="482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50">
        <f t="shared" si="41"/>
        <v>44742</v>
      </c>
      <c r="D649" s="99" t="s">
        <v>545</v>
      </c>
      <c r="E649" s="482">
        <v>7</v>
      </c>
      <c r="F649" s="99" t="s">
        <v>804</v>
      </c>
      <c r="H649" s="99">
        <f>'Справка 6'!J19</f>
        <v>644979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50">
        <f t="shared" si="41"/>
        <v>44742</v>
      </c>
      <c r="D650" s="99" t="s">
        <v>547</v>
      </c>
      <c r="E650" s="482">
        <v>7</v>
      </c>
      <c r="F650" s="99" t="s">
        <v>546</v>
      </c>
      <c r="H650" s="99">
        <f>'Справка 6'!J20</f>
        <v>9446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50">
        <f t="shared" si="41"/>
        <v>44742</v>
      </c>
      <c r="D651" s="99" t="s">
        <v>549</v>
      </c>
      <c r="E651" s="482">
        <v>7</v>
      </c>
      <c r="F651" s="99" t="s">
        <v>548</v>
      </c>
      <c r="H651" s="99">
        <f>'Справка 6'!J21</f>
        <v>521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50">
        <f t="shared" si="41"/>
        <v>44742</v>
      </c>
      <c r="D652" s="99" t="s">
        <v>553</v>
      </c>
      <c r="E652" s="482">
        <v>7</v>
      </c>
      <c r="F652" s="99" t="s">
        <v>552</v>
      </c>
      <c r="H652" s="99">
        <f>'Справка 6'!J23</f>
        <v>61631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50">
        <f t="shared" ref="C653:C716" si="44">endDate</f>
        <v>44742</v>
      </c>
      <c r="D653" s="99" t="s">
        <v>555</v>
      </c>
      <c r="E653" s="482">
        <v>7</v>
      </c>
      <c r="F653" s="99" t="s">
        <v>554</v>
      </c>
      <c r="H653" s="99">
        <f>'Справка 6'!J24</f>
        <v>35398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50">
        <f t="shared" si="44"/>
        <v>44742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50">
        <f t="shared" si="44"/>
        <v>44742</v>
      </c>
      <c r="D655" s="99" t="s">
        <v>558</v>
      </c>
      <c r="E655" s="482">
        <v>7</v>
      </c>
      <c r="F655" s="99" t="s">
        <v>542</v>
      </c>
      <c r="H655" s="99">
        <f>'Справка 6'!J26</f>
        <v>2055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50">
        <f t="shared" si="44"/>
        <v>44742</v>
      </c>
      <c r="D656" s="99" t="s">
        <v>560</v>
      </c>
      <c r="E656" s="482">
        <v>7</v>
      </c>
      <c r="F656" s="99" t="s">
        <v>838</v>
      </c>
      <c r="H656" s="99">
        <f>'Справка 6'!J27</f>
        <v>99084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50">
        <f t="shared" si="44"/>
        <v>44742</v>
      </c>
      <c r="D657" s="99" t="s">
        <v>562</v>
      </c>
      <c r="E657" s="482">
        <v>7</v>
      </c>
      <c r="F657" s="99" t="s">
        <v>561</v>
      </c>
      <c r="H657" s="99">
        <f>'Справка 6'!J29</f>
        <v>142196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50">
        <f t="shared" si="44"/>
        <v>44742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50">
        <f t="shared" si="44"/>
        <v>44742</v>
      </c>
      <c r="D659" s="99" t="s">
        <v>564</v>
      </c>
      <c r="E659" s="482">
        <v>7</v>
      </c>
      <c r="F659" s="99" t="s">
        <v>110</v>
      </c>
      <c r="H659" s="99">
        <f>'Справка 6'!J31</f>
        <v>2031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50">
        <f t="shared" si="44"/>
        <v>44742</v>
      </c>
      <c r="D660" s="99" t="s">
        <v>565</v>
      </c>
      <c r="E660" s="482">
        <v>7</v>
      </c>
      <c r="F660" s="99" t="s">
        <v>113</v>
      </c>
      <c r="H660" s="99">
        <f>'Справка 6'!J32</f>
        <v>134958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50">
        <f t="shared" si="44"/>
        <v>44742</v>
      </c>
      <c r="D661" s="99" t="s">
        <v>566</v>
      </c>
      <c r="E661" s="482">
        <v>7</v>
      </c>
      <c r="F661" s="99" t="s">
        <v>115</v>
      </c>
      <c r="H661" s="99">
        <f>'Справка 6'!J33</f>
        <v>5207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50">
        <f t="shared" si="44"/>
        <v>44742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50">
        <f t="shared" si="44"/>
        <v>44742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50">
        <f t="shared" si="44"/>
        <v>44742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50">
        <f t="shared" si="44"/>
        <v>44742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50">
        <f t="shared" si="44"/>
        <v>44742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50">
        <f t="shared" si="44"/>
        <v>44742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50">
        <f t="shared" si="44"/>
        <v>44742</v>
      </c>
      <c r="D668" s="99" t="s">
        <v>578</v>
      </c>
      <c r="E668" s="482">
        <v>7</v>
      </c>
      <c r="F668" s="99" t="s">
        <v>803</v>
      </c>
      <c r="H668" s="99">
        <f>'Справка 6'!J40</f>
        <v>142196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50">
        <f t="shared" si="44"/>
        <v>44742</v>
      </c>
      <c r="D669" s="99" t="s">
        <v>581</v>
      </c>
      <c r="E669" s="482">
        <v>7</v>
      </c>
      <c r="F669" s="99" t="s">
        <v>580</v>
      </c>
      <c r="H669" s="99">
        <f>'Справка 6'!J41</f>
        <v>31327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50">
        <f t="shared" si="44"/>
        <v>44742</v>
      </c>
      <c r="D670" s="99" t="s">
        <v>583</v>
      </c>
      <c r="E670" s="482">
        <v>7</v>
      </c>
      <c r="F670" s="99" t="s">
        <v>582</v>
      </c>
      <c r="H670" s="99">
        <f>'Справка 6'!J42</f>
        <v>927553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50">
        <f t="shared" si="44"/>
        <v>44742</v>
      </c>
      <c r="D671" s="99" t="s">
        <v>523</v>
      </c>
      <c r="E671" s="482">
        <v>8</v>
      </c>
      <c r="F671" s="99" t="s">
        <v>522</v>
      </c>
      <c r="H671" s="99">
        <f>'Справка 6'!K11</f>
        <v>3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50">
        <f t="shared" si="44"/>
        <v>44742</v>
      </c>
      <c r="D672" s="99" t="s">
        <v>526</v>
      </c>
      <c r="E672" s="482">
        <v>8</v>
      </c>
      <c r="F672" s="99" t="s">
        <v>525</v>
      </c>
      <c r="H672" s="99">
        <f>'Справка 6'!K12</f>
        <v>78716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50">
        <f t="shared" si="44"/>
        <v>44742</v>
      </c>
      <c r="D673" s="99" t="s">
        <v>529</v>
      </c>
      <c r="E673" s="482">
        <v>8</v>
      </c>
      <c r="F673" s="99" t="s">
        <v>528</v>
      </c>
      <c r="H673" s="99">
        <f>'Справка 6'!K13</f>
        <v>149853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50">
        <f t="shared" si="44"/>
        <v>44742</v>
      </c>
      <c r="D674" s="99" t="s">
        <v>532</v>
      </c>
      <c r="E674" s="482">
        <v>8</v>
      </c>
      <c r="F674" s="99" t="s">
        <v>531</v>
      </c>
      <c r="H674" s="99">
        <f>'Справка 6'!K14</f>
        <v>10495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50">
        <f t="shared" si="44"/>
        <v>44742</v>
      </c>
      <c r="D675" s="99" t="s">
        <v>535</v>
      </c>
      <c r="E675" s="482">
        <v>8</v>
      </c>
      <c r="F675" s="99" t="s">
        <v>534</v>
      </c>
      <c r="H675" s="99">
        <f>'Справка 6'!K15</f>
        <v>12150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50">
        <f t="shared" si="44"/>
        <v>44742</v>
      </c>
      <c r="D676" s="99" t="s">
        <v>537</v>
      </c>
      <c r="E676" s="482">
        <v>8</v>
      </c>
      <c r="F676" s="99" t="s">
        <v>536</v>
      </c>
      <c r="H676" s="99">
        <f>'Справка 6'!K16</f>
        <v>17707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50">
        <f t="shared" si="44"/>
        <v>44742</v>
      </c>
      <c r="D677" s="99" t="s">
        <v>540</v>
      </c>
      <c r="E677" s="482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50">
        <f t="shared" si="44"/>
        <v>44742</v>
      </c>
      <c r="D678" s="99" t="s">
        <v>543</v>
      </c>
      <c r="E678" s="482">
        <v>8</v>
      </c>
      <c r="F678" s="99" t="s">
        <v>542</v>
      </c>
      <c r="H678" s="99">
        <f>'Справка 6'!K18</f>
        <v>221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50">
        <f t="shared" si="44"/>
        <v>44742</v>
      </c>
      <c r="D679" s="99" t="s">
        <v>545</v>
      </c>
      <c r="E679" s="482">
        <v>8</v>
      </c>
      <c r="F679" s="99" t="s">
        <v>804</v>
      </c>
      <c r="H679" s="99">
        <f>'Справка 6'!K19</f>
        <v>269145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50">
        <f t="shared" si="44"/>
        <v>44742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50">
        <f t="shared" si="44"/>
        <v>44742</v>
      </c>
      <c r="D681" s="99" t="s">
        <v>549</v>
      </c>
      <c r="E681" s="482">
        <v>8</v>
      </c>
      <c r="F681" s="99" t="s">
        <v>548</v>
      </c>
      <c r="H681" s="99">
        <f>'Справка 6'!K21</f>
        <v>60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50">
        <f t="shared" si="44"/>
        <v>44742</v>
      </c>
      <c r="D682" s="99" t="s">
        <v>553</v>
      </c>
      <c r="E682" s="482">
        <v>8</v>
      </c>
      <c r="F682" s="99" t="s">
        <v>552</v>
      </c>
      <c r="H682" s="99">
        <f>'Справка 6'!K23</f>
        <v>27622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50">
        <f t="shared" si="44"/>
        <v>44742</v>
      </c>
      <c r="D683" s="99" t="s">
        <v>555</v>
      </c>
      <c r="E683" s="482">
        <v>8</v>
      </c>
      <c r="F683" s="99" t="s">
        <v>554</v>
      </c>
      <c r="H683" s="99">
        <f>'Справка 6'!K24</f>
        <v>15707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50">
        <f t="shared" si="44"/>
        <v>44742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50">
        <f t="shared" si="44"/>
        <v>44742</v>
      </c>
      <c r="D685" s="99" t="s">
        <v>558</v>
      </c>
      <c r="E685" s="482">
        <v>8</v>
      </c>
      <c r="F685" s="99" t="s">
        <v>542</v>
      </c>
      <c r="H685" s="99">
        <f>'Справка 6'!K26</f>
        <v>0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50">
        <f t="shared" si="44"/>
        <v>44742</v>
      </c>
      <c r="D686" s="99" t="s">
        <v>560</v>
      </c>
      <c r="E686" s="482">
        <v>8</v>
      </c>
      <c r="F686" s="99" t="s">
        <v>838</v>
      </c>
      <c r="H686" s="99">
        <f>'Справка 6'!K27</f>
        <v>43329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50">
        <f t="shared" si="44"/>
        <v>44742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50">
        <f t="shared" si="44"/>
        <v>44742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50">
        <f t="shared" si="44"/>
        <v>44742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50">
        <f t="shared" si="44"/>
        <v>44742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50">
        <f t="shared" si="44"/>
        <v>44742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50">
        <f t="shared" si="44"/>
        <v>44742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50">
        <f t="shared" si="44"/>
        <v>44742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50">
        <f t="shared" si="44"/>
        <v>44742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50">
        <f t="shared" si="44"/>
        <v>44742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50">
        <f t="shared" si="44"/>
        <v>44742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50">
        <f t="shared" si="44"/>
        <v>44742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50">
        <f t="shared" si="44"/>
        <v>44742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50">
        <f t="shared" si="44"/>
        <v>44742</v>
      </c>
      <c r="D699" s="99" t="s">
        <v>581</v>
      </c>
      <c r="E699" s="482">
        <v>8</v>
      </c>
      <c r="F699" s="99" t="s">
        <v>580</v>
      </c>
      <c r="H699" s="99">
        <f>'Справка 6'!K41</f>
        <v>17888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50">
        <f t="shared" si="44"/>
        <v>44742</v>
      </c>
      <c r="D700" s="99" t="s">
        <v>583</v>
      </c>
      <c r="E700" s="482">
        <v>8</v>
      </c>
      <c r="F700" s="99" t="s">
        <v>582</v>
      </c>
      <c r="H700" s="99">
        <f>'Справка 6'!K42</f>
        <v>330422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50">
        <f t="shared" si="44"/>
        <v>44742</v>
      </c>
      <c r="D701" s="99" t="s">
        <v>523</v>
      </c>
      <c r="E701" s="482">
        <v>9</v>
      </c>
      <c r="F701" s="99" t="s">
        <v>522</v>
      </c>
      <c r="H701" s="99">
        <f>'Справка 6'!L11</f>
        <v>1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50">
        <f t="shared" si="44"/>
        <v>44742</v>
      </c>
      <c r="D702" s="99" t="s">
        <v>526</v>
      </c>
      <c r="E702" s="482">
        <v>9</v>
      </c>
      <c r="F702" s="99" t="s">
        <v>525</v>
      </c>
      <c r="H702" s="99">
        <f>'Справка 6'!L12</f>
        <v>10132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50">
        <f t="shared" si="44"/>
        <v>44742</v>
      </c>
      <c r="D703" s="99" t="s">
        <v>529</v>
      </c>
      <c r="E703" s="482">
        <v>9</v>
      </c>
      <c r="F703" s="99" t="s">
        <v>528</v>
      </c>
      <c r="H703" s="99">
        <f>'Справка 6'!L13</f>
        <v>6691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50">
        <f t="shared" si="44"/>
        <v>44742</v>
      </c>
      <c r="D704" s="99" t="s">
        <v>532</v>
      </c>
      <c r="E704" s="482">
        <v>9</v>
      </c>
      <c r="F704" s="99" t="s">
        <v>531</v>
      </c>
      <c r="H704" s="99">
        <f>'Справка 6'!L14</f>
        <v>823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50">
        <f t="shared" si="44"/>
        <v>44742</v>
      </c>
      <c r="D705" s="99" t="s">
        <v>535</v>
      </c>
      <c r="E705" s="482">
        <v>9</v>
      </c>
      <c r="F705" s="99" t="s">
        <v>534</v>
      </c>
      <c r="H705" s="99">
        <f>'Справка 6'!L15</f>
        <v>1887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50">
        <f t="shared" si="44"/>
        <v>44742</v>
      </c>
      <c r="D706" s="99" t="s">
        <v>537</v>
      </c>
      <c r="E706" s="482">
        <v>9</v>
      </c>
      <c r="F706" s="99" t="s">
        <v>536</v>
      </c>
      <c r="H706" s="99">
        <f>'Справка 6'!L16</f>
        <v>1407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50">
        <f t="shared" si="44"/>
        <v>44742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50">
        <f t="shared" si="44"/>
        <v>44742</v>
      </c>
      <c r="D708" s="99" t="s">
        <v>543</v>
      </c>
      <c r="E708" s="482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50">
        <f t="shared" si="44"/>
        <v>44742</v>
      </c>
      <c r="D709" s="99" t="s">
        <v>545</v>
      </c>
      <c r="E709" s="482">
        <v>9</v>
      </c>
      <c r="F709" s="99" t="s">
        <v>804</v>
      </c>
      <c r="H709" s="99">
        <f>'Справка 6'!L19</f>
        <v>20941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50">
        <f t="shared" si="44"/>
        <v>44742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50">
        <f t="shared" si="44"/>
        <v>44742</v>
      </c>
      <c r="D711" s="99" t="s">
        <v>549</v>
      </c>
      <c r="E711" s="482">
        <v>9</v>
      </c>
      <c r="F711" s="99" t="s">
        <v>548</v>
      </c>
      <c r="H711" s="99">
        <f>'Справка 6'!L21</f>
        <v>21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50">
        <f t="shared" si="44"/>
        <v>44742</v>
      </c>
      <c r="D712" s="99" t="s">
        <v>553</v>
      </c>
      <c r="E712" s="482">
        <v>9</v>
      </c>
      <c r="F712" s="99" t="s">
        <v>552</v>
      </c>
      <c r="H712" s="99">
        <f>'Справка 6'!L23</f>
        <v>3263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50">
        <f t="shared" si="44"/>
        <v>44742</v>
      </c>
      <c r="D713" s="99" t="s">
        <v>555</v>
      </c>
      <c r="E713" s="482">
        <v>9</v>
      </c>
      <c r="F713" s="99" t="s">
        <v>554</v>
      </c>
      <c r="H713" s="99">
        <f>'Справка 6'!L24</f>
        <v>1551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50">
        <f t="shared" si="44"/>
        <v>44742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50">
        <f t="shared" si="44"/>
        <v>44742</v>
      </c>
      <c r="D715" s="99" t="s">
        <v>558</v>
      </c>
      <c r="E715" s="482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50">
        <f t="shared" si="44"/>
        <v>44742</v>
      </c>
      <c r="D716" s="99" t="s">
        <v>560</v>
      </c>
      <c r="E716" s="482">
        <v>9</v>
      </c>
      <c r="F716" s="99" t="s">
        <v>838</v>
      </c>
      <c r="H716" s="99">
        <f>'Справка 6'!L27</f>
        <v>4814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50">
        <f t="shared" ref="C717:C780" si="47">endDate</f>
        <v>44742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50">
        <f t="shared" si="47"/>
        <v>44742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50">
        <f t="shared" si="47"/>
        <v>44742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50">
        <f t="shared" si="47"/>
        <v>44742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50">
        <f t="shared" si="47"/>
        <v>44742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50">
        <f t="shared" si="47"/>
        <v>44742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50">
        <f t="shared" si="47"/>
        <v>44742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50">
        <f t="shared" si="47"/>
        <v>44742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50">
        <f t="shared" si="47"/>
        <v>44742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50">
        <f t="shared" si="47"/>
        <v>44742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50">
        <f t="shared" si="47"/>
        <v>44742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50">
        <f t="shared" si="47"/>
        <v>44742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50">
        <f t="shared" si="47"/>
        <v>44742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50">
        <f t="shared" si="47"/>
        <v>44742</v>
      </c>
      <c r="D730" s="99" t="s">
        <v>583</v>
      </c>
      <c r="E730" s="482">
        <v>9</v>
      </c>
      <c r="F730" s="99" t="s">
        <v>582</v>
      </c>
      <c r="H730" s="99">
        <f>'Справка 6'!L42</f>
        <v>25776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50">
        <f t="shared" si="47"/>
        <v>44742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50">
        <f t="shared" si="47"/>
        <v>44742</v>
      </c>
      <c r="D732" s="99" t="s">
        <v>526</v>
      </c>
      <c r="E732" s="482">
        <v>10</v>
      </c>
      <c r="F732" s="99" t="s">
        <v>525</v>
      </c>
      <c r="H732" s="99">
        <f>'Справка 6'!M12</f>
        <v>1409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50">
        <f t="shared" si="47"/>
        <v>44742</v>
      </c>
      <c r="D733" s="99" t="s">
        <v>529</v>
      </c>
      <c r="E733" s="482">
        <v>10</v>
      </c>
      <c r="F733" s="99" t="s">
        <v>528</v>
      </c>
      <c r="H733" s="99">
        <f>'Справка 6'!M13</f>
        <v>338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50">
        <f t="shared" si="47"/>
        <v>44742</v>
      </c>
      <c r="D734" s="99" t="s">
        <v>532</v>
      </c>
      <c r="E734" s="482">
        <v>10</v>
      </c>
      <c r="F734" s="99" t="s">
        <v>531</v>
      </c>
      <c r="H734" s="99">
        <f>'Справка 6'!M14</f>
        <v>34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50">
        <f t="shared" si="47"/>
        <v>44742</v>
      </c>
      <c r="D735" s="99" t="s">
        <v>535</v>
      </c>
      <c r="E735" s="482">
        <v>10</v>
      </c>
      <c r="F735" s="99" t="s">
        <v>534</v>
      </c>
      <c r="H735" s="99">
        <f>'Справка 6'!M15</f>
        <v>561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50">
        <f t="shared" si="47"/>
        <v>44742</v>
      </c>
      <c r="D736" s="99" t="s">
        <v>537</v>
      </c>
      <c r="E736" s="482">
        <v>10</v>
      </c>
      <c r="F736" s="99" t="s">
        <v>536</v>
      </c>
      <c r="H736" s="99">
        <f>'Справка 6'!M16</f>
        <v>365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50">
        <f t="shared" si="47"/>
        <v>44742</v>
      </c>
      <c r="D737" s="99" t="s">
        <v>540</v>
      </c>
      <c r="E737" s="48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50">
        <f t="shared" si="47"/>
        <v>44742</v>
      </c>
      <c r="D738" s="99" t="s">
        <v>543</v>
      </c>
      <c r="E738" s="482">
        <v>10</v>
      </c>
      <c r="F738" s="99" t="s">
        <v>542</v>
      </c>
      <c r="H738" s="99">
        <f>'Справка 6'!M18</f>
        <v>221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50">
        <f t="shared" si="47"/>
        <v>44742</v>
      </c>
      <c r="D739" s="99" t="s">
        <v>545</v>
      </c>
      <c r="E739" s="482">
        <v>10</v>
      </c>
      <c r="F739" s="99" t="s">
        <v>804</v>
      </c>
      <c r="H739" s="99">
        <f>'Справка 6'!M19</f>
        <v>2928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50">
        <f t="shared" si="47"/>
        <v>44742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50">
        <f t="shared" si="47"/>
        <v>44742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50">
        <f t="shared" si="47"/>
        <v>44742</v>
      </c>
      <c r="D742" s="99" t="s">
        <v>553</v>
      </c>
      <c r="E742" s="482">
        <v>10</v>
      </c>
      <c r="F742" s="99" t="s">
        <v>552</v>
      </c>
      <c r="H742" s="99">
        <f>'Справка 6'!M23</f>
        <v>2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50">
        <f t="shared" si="47"/>
        <v>44742</v>
      </c>
      <c r="D743" s="99" t="s">
        <v>555</v>
      </c>
      <c r="E743" s="482">
        <v>10</v>
      </c>
      <c r="F743" s="99" t="s">
        <v>554</v>
      </c>
      <c r="H743" s="99">
        <f>'Справка 6'!M24</f>
        <v>3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50">
        <f t="shared" si="47"/>
        <v>44742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50">
        <f t="shared" si="47"/>
        <v>44742</v>
      </c>
      <c r="D745" s="99" t="s">
        <v>558</v>
      </c>
      <c r="E745" s="482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50">
        <f t="shared" si="47"/>
        <v>44742</v>
      </c>
      <c r="D746" s="99" t="s">
        <v>560</v>
      </c>
      <c r="E746" s="482">
        <v>10</v>
      </c>
      <c r="F746" s="99" t="s">
        <v>838</v>
      </c>
      <c r="H746" s="99">
        <f>'Справка 6'!M27</f>
        <v>5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50">
        <f t="shared" si="47"/>
        <v>44742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50">
        <f t="shared" si="47"/>
        <v>44742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50">
        <f t="shared" si="47"/>
        <v>44742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50">
        <f t="shared" si="47"/>
        <v>44742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50">
        <f t="shared" si="47"/>
        <v>44742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50">
        <f t="shared" si="47"/>
        <v>44742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50">
        <f t="shared" si="47"/>
        <v>44742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50">
        <f t="shared" si="47"/>
        <v>44742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50">
        <f t="shared" si="47"/>
        <v>44742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50">
        <f t="shared" si="47"/>
        <v>44742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50">
        <f t="shared" si="47"/>
        <v>44742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50">
        <f t="shared" si="47"/>
        <v>44742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50">
        <f t="shared" si="47"/>
        <v>44742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50">
        <f t="shared" si="47"/>
        <v>44742</v>
      </c>
      <c r="D760" s="99" t="s">
        <v>583</v>
      </c>
      <c r="E760" s="482">
        <v>10</v>
      </c>
      <c r="F760" s="99" t="s">
        <v>582</v>
      </c>
      <c r="H760" s="99">
        <f>'Справка 6'!M42</f>
        <v>2933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50">
        <f t="shared" si="47"/>
        <v>44742</v>
      </c>
      <c r="D761" s="99" t="s">
        <v>523</v>
      </c>
      <c r="E761" s="482">
        <v>11</v>
      </c>
      <c r="F761" s="99" t="s">
        <v>522</v>
      </c>
      <c r="H761" s="99">
        <f>'Справка 6'!N11</f>
        <v>4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50">
        <f t="shared" si="47"/>
        <v>44742</v>
      </c>
      <c r="D762" s="99" t="s">
        <v>526</v>
      </c>
      <c r="E762" s="482">
        <v>11</v>
      </c>
      <c r="F762" s="99" t="s">
        <v>525</v>
      </c>
      <c r="H762" s="99">
        <f>'Справка 6'!N12</f>
        <v>87439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50">
        <f t="shared" si="47"/>
        <v>44742</v>
      </c>
      <c r="D763" s="99" t="s">
        <v>529</v>
      </c>
      <c r="E763" s="482">
        <v>11</v>
      </c>
      <c r="F763" s="99" t="s">
        <v>528</v>
      </c>
      <c r="H763" s="99">
        <f>'Справка 6'!N13</f>
        <v>156206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50">
        <f t="shared" si="47"/>
        <v>44742</v>
      </c>
      <c r="D764" s="99" t="s">
        <v>532</v>
      </c>
      <c r="E764" s="482">
        <v>11</v>
      </c>
      <c r="F764" s="99" t="s">
        <v>531</v>
      </c>
      <c r="H764" s="99">
        <f>'Справка 6'!N14</f>
        <v>11284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50">
        <f t="shared" si="47"/>
        <v>44742</v>
      </c>
      <c r="D765" s="99" t="s">
        <v>535</v>
      </c>
      <c r="E765" s="482">
        <v>11</v>
      </c>
      <c r="F765" s="99" t="s">
        <v>534</v>
      </c>
      <c r="H765" s="99">
        <f>'Справка 6'!N15</f>
        <v>13476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50">
        <f t="shared" si="47"/>
        <v>44742</v>
      </c>
      <c r="D766" s="99" t="s">
        <v>537</v>
      </c>
      <c r="E766" s="482">
        <v>11</v>
      </c>
      <c r="F766" s="99" t="s">
        <v>536</v>
      </c>
      <c r="H766" s="99">
        <f>'Справка 6'!N16</f>
        <v>18749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50">
        <f t="shared" si="47"/>
        <v>44742</v>
      </c>
      <c r="D767" s="99" t="s">
        <v>540</v>
      </c>
      <c r="E767" s="482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50">
        <f t="shared" si="47"/>
        <v>44742</v>
      </c>
      <c r="D768" s="99" t="s">
        <v>543</v>
      </c>
      <c r="E768" s="482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50">
        <f t="shared" si="47"/>
        <v>44742</v>
      </c>
      <c r="D769" s="99" t="s">
        <v>545</v>
      </c>
      <c r="E769" s="482">
        <v>11</v>
      </c>
      <c r="F769" s="99" t="s">
        <v>804</v>
      </c>
      <c r="H769" s="99">
        <f>'Справка 6'!N19</f>
        <v>287158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50">
        <f t="shared" si="47"/>
        <v>44742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50">
        <f t="shared" si="47"/>
        <v>44742</v>
      </c>
      <c r="D771" s="99" t="s">
        <v>549</v>
      </c>
      <c r="E771" s="482">
        <v>11</v>
      </c>
      <c r="F771" s="99" t="s">
        <v>548</v>
      </c>
      <c r="H771" s="99">
        <f>'Справка 6'!N21</f>
        <v>81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50">
        <f t="shared" si="47"/>
        <v>44742</v>
      </c>
      <c r="D772" s="99" t="s">
        <v>553</v>
      </c>
      <c r="E772" s="482">
        <v>11</v>
      </c>
      <c r="F772" s="99" t="s">
        <v>552</v>
      </c>
      <c r="H772" s="99">
        <f>'Справка 6'!N23</f>
        <v>30883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50">
        <f t="shared" si="47"/>
        <v>44742</v>
      </c>
      <c r="D773" s="99" t="s">
        <v>555</v>
      </c>
      <c r="E773" s="482">
        <v>11</v>
      </c>
      <c r="F773" s="99" t="s">
        <v>554</v>
      </c>
      <c r="H773" s="99">
        <f>'Справка 6'!N24</f>
        <v>17255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50">
        <f t="shared" si="47"/>
        <v>44742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50">
        <f t="shared" si="47"/>
        <v>44742</v>
      </c>
      <c r="D775" s="99" t="s">
        <v>558</v>
      </c>
      <c r="E775" s="482">
        <v>11</v>
      </c>
      <c r="F775" s="99" t="s">
        <v>542</v>
      </c>
      <c r="H775" s="99">
        <f>'Справка 6'!N26</f>
        <v>0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50">
        <f t="shared" si="47"/>
        <v>44742</v>
      </c>
      <c r="D776" s="99" t="s">
        <v>560</v>
      </c>
      <c r="E776" s="482">
        <v>11</v>
      </c>
      <c r="F776" s="99" t="s">
        <v>838</v>
      </c>
      <c r="H776" s="99">
        <f>'Справка 6'!N27</f>
        <v>48138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50">
        <f t="shared" si="47"/>
        <v>44742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50">
        <f t="shared" si="47"/>
        <v>44742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50">
        <f t="shared" si="47"/>
        <v>44742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50">
        <f t="shared" si="47"/>
        <v>44742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50">
        <f t="shared" ref="C781:C844" si="50">endDate</f>
        <v>44742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50">
        <f t="shared" si="50"/>
        <v>44742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50">
        <f t="shared" si="50"/>
        <v>44742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50">
        <f t="shared" si="50"/>
        <v>44742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50">
        <f t="shared" si="50"/>
        <v>44742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50">
        <f t="shared" si="50"/>
        <v>44742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50">
        <f t="shared" si="50"/>
        <v>44742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50">
        <f t="shared" si="50"/>
        <v>44742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50">
        <f t="shared" si="50"/>
        <v>44742</v>
      </c>
      <c r="D789" s="99" t="s">
        <v>581</v>
      </c>
      <c r="E789" s="482">
        <v>11</v>
      </c>
      <c r="F789" s="99" t="s">
        <v>580</v>
      </c>
      <c r="H789" s="99">
        <f>'Справка 6'!N41</f>
        <v>17888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50">
        <f t="shared" si="50"/>
        <v>44742</v>
      </c>
      <c r="D790" s="99" t="s">
        <v>583</v>
      </c>
      <c r="E790" s="482">
        <v>11</v>
      </c>
      <c r="F790" s="99" t="s">
        <v>582</v>
      </c>
      <c r="H790" s="99">
        <f>'Справка 6'!N42</f>
        <v>353265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50">
        <f t="shared" si="50"/>
        <v>44742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50">
        <f t="shared" si="50"/>
        <v>44742</v>
      </c>
      <c r="D792" s="99" t="s">
        <v>526</v>
      </c>
      <c r="E792" s="48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50">
        <f t="shared" si="50"/>
        <v>44742</v>
      </c>
      <c r="D793" s="99" t="s">
        <v>529</v>
      </c>
      <c r="E793" s="482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50">
        <f t="shared" si="50"/>
        <v>44742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50">
        <f t="shared" si="50"/>
        <v>44742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50">
        <f t="shared" si="50"/>
        <v>44742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50">
        <f t="shared" si="50"/>
        <v>44742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50">
        <f t="shared" si="50"/>
        <v>44742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50">
        <f t="shared" si="50"/>
        <v>44742</v>
      </c>
      <c r="D799" s="99" t="s">
        <v>545</v>
      </c>
      <c r="E799" s="482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50">
        <f t="shared" si="50"/>
        <v>44742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50">
        <f t="shared" si="50"/>
        <v>44742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50">
        <f t="shared" si="50"/>
        <v>44742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50">
        <f t="shared" si="50"/>
        <v>44742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50">
        <f t="shared" si="50"/>
        <v>44742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50">
        <f t="shared" si="50"/>
        <v>44742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50">
        <f t="shared" si="50"/>
        <v>44742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50">
        <f t="shared" si="50"/>
        <v>44742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50">
        <f t="shared" si="50"/>
        <v>44742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50">
        <f t="shared" si="50"/>
        <v>44742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50">
        <f t="shared" si="50"/>
        <v>44742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50">
        <f t="shared" si="50"/>
        <v>44742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50">
        <f t="shared" si="50"/>
        <v>44742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50">
        <f t="shared" si="50"/>
        <v>44742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50">
        <f t="shared" si="50"/>
        <v>44742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50">
        <f t="shared" si="50"/>
        <v>44742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50">
        <f t="shared" si="50"/>
        <v>44742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50">
        <f t="shared" si="50"/>
        <v>44742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50">
        <f t="shared" si="50"/>
        <v>44742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50">
        <f t="shared" si="50"/>
        <v>44742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50">
        <f t="shared" si="50"/>
        <v>44742</v>
      </c>
      <c r="D820" s="99" t="s">
        <v>583</v>
      </c>
      <c r="E820" s="482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50">
        <f t="shared" si="50"/>
        <v>44742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50">
        <f t="shared" si="50"/>
        <v>44742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50">
        <f t="shared" si="50"/>
        <v>44742</v>
      </c>
      <c r="D823" s="99" t="s">
        <v>529</v>
      </c>
      <c r="E823" s="482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50">
        <f t="shared" si="50"/>
        <v>44742</v>
      </c>
      <c r="D824" s="99" t="s">
        <v>532</v>
      </c>
      <c r="E824" s="482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50">
        <f t="shared" si="50"/>
        <v>44742</v>
      </c>
      <c r="D825" s="99" t="s">
        <v>535</v>
      </c>
      <c r="E825" s="482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50">
        <f t="shared" si="50"/>
        <v>44742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50">
        <f t="shared" si="50"/>
        <v>44742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50">
        <f t="shared" si="50"/>
        <v>44742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50">
        <f t="shared" si="50"/>
        <v>44742</v>
      </c>
      <c r="D829" s="99" t="s">
        <v>545</v>
      </c>
      <c r="E829" s="482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50">
        <f t="shared" si="50"/>
        <v>44742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50">
        <f t="shared" si="50"/>
        <v>44742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50">
        <f t="shared" si="50"/>
        <v>44742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50">
        <f t="shared" si="50"/>
        <v>44742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50">
        <f t="shared" si="50"/>
        <v>44742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50">
        <f t="shared" si="50"/>
        <v>44742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50">
        <f t="shared" si="50"/>
        <v>44742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50">
        <f t="shared" si="50"/>
        <v>44742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50">
        <f t="shared" si="50"/>
        <v>44742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50">
        <f t="shared" si="50"/>
        <v>44742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50">
        <f t="shared" si="50"/>
        <v>44742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50">
        <f t="shared" si="50"/>
        <v>44742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50">
        <f t="shared" si="50"/>
        <v>44742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50">
        <f t="shared" si="50"/>
        <v>44742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50">
        <f t="shared" si="50"/>
        <v>44742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50">
        <f t="shared" ref="C845:C910" si="53">endDate</f>
        <v>44742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50">
        <f t="shared" si="53"/>
        <v>44742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50">
        <f t="shared" si="53"/>
        <v>44742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50">
        <f t="shared" si="53"/>
        <v>44742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50">
        <f t="shared" si="53"/>
        <v>44742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50">
        <f t="shared" si="53"/>
        <v>44742</v>
      </c>
      <c r="D850" s="99" t="s">
        <v>583</v>
      </c>
      <c r="E850" s="482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50">
        <f t="shared" si="53"/>
        <v>44742</v>
      </c>
      <c r="D851" s="99" t="s">
        <v>523</v>
      </c>
      <c r="E851" s="482">
        <v>14</v>
      </c>
      <c r="F851" s="99" t="s">
        <v>522</v>
      </c>
      <c r="H851" s="99">
        <f>'Справка 6'!Q11</f>
        <v>4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50">
        <f t="shared" si="53"/>
        <v>44742</v>
      </c>
      <c r="D852" s="99" t="s">
        <v>526</v>
      </c>
      <c r="E852" s="482">
        <v>14</v>
      </c>
      <c r="F852" s="99" t="s">
        <v>525</v>
      </c>
      <c r="H852" s="99">
        <f>'Справка 6'!Q12</f>
        <v>87439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50">
        <f t="shared" si="53"/>
        <v>44742</v>
      </c>
      <c r="D853" s="99" t="s">
        <v>529</v>
      </c>
      <c r="E853" s="482">
        <v>14</v>
      </c>
      <c r="F853" s="99" t="s">
        <v>528</v>
      </c>
      <c r="H853" s="99">
        <f>'Справка 6'!Q13</f>
        <v>156206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50">
        <f t="shared" si="53"/>
        <v>44742</v>
      </c>
      <c r="D854" s="99" t="s">
        <v>532</v>
      </c>
      <c r="E854" s="482">
        <v>14</v>
      </c>
      <c r="F854" s="99" t="s">
        <v>531</v>
      </c>
      <c r="H854" s="99">
        <f>'Справка 6'!Q14</f>
        <v>11284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50">
        <f t="shared" si="53"/>
        <v>44742</v>
      </c>
      <c r="D855" s="99" t="s">
        <v>535</v>
      </c>
      <c r="E855" s="482">
        <v>14</v>
      </c>
      <c r="F855" s="99" t="s">
        <v>534</v>
      </c>
      <c r="H855" s="99">
        <f>'Справка 6'!Q15</f>
        <v>13476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50">
        <f t="shared" si="53"/>
        <v>44742</v>
      </c>
      <c r="D856" s="99" t="s">
        <v>537</v>
      </c>
      <c r="E856" s="482">
        <v>14</v>
      </c>
      <c r="F856" s="99" t="s">
        <v>536</v>
      </c>
      <c r="H856" s="99">
        <f>'Справка 6'!Q16</f>
        <v>18749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50">
        <f t="shared" si="53"/>
        <v>44742</v>
      </c>
      <c r="D857" s="99" t="s">
        <v>540</v>
      </c>
      <c r="E857" s="482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50">
        <f t="shared" si="53"/>
        <v>44742</v>
      </c>
      <c r="D858" s="99" t="s">
        <v>543</v>
      </c>
      <c r="E858" s="482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50">
        <f t="shared" si="53"/>
        <v>44742</v>
      </c>
      <c r="D859" s="99" t="s">
        <v>545</v>
      </c>
      <c r="E859" s="482">
        <v>14</v>
      </c>
      <c r="F859" s="99" t="s">
        <v>804</v>
      </c>
      <c r="H859" s="99">
        <f>'Справка 6'!Q19</f>
        <v>287158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50">
        <f t="shared" si="53"/>
        <v>44742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50">
        <f t="shared" si="53"/>
        <v>44742</v>
      </c>
      <c r="D861" s="99" t="s">
        <v>549</v>
      </c>
      <c r="E861" s="482">
        <v>14</v>
      </c>
      <c r="F861" s="99" t="s">
        <v>548</v>
      </c>
      <c r="H861" s="99">
        <f>'Справка 6'!Q21</f>
        <v>81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50">
        <f t="shared" si="53"/>
        <v>44742</v>
      </c>
      <c r="D862" s="99" t="s">
        <v>553</v>
      </c>
      <c r="E862" s="482">
        <v>14</v>
      </c>
      <c r="F862" s="99" t="s">
        <v>552</v>
      </c>
      <c r="H862" s="99">
        <f>'Справка 6'!Q23</f>
        <v>30883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50">
        <f t="shared" si="53"/>
        <v>44742</v>
      </c>
      <c r="D863" s="99" t="s">
        <v>555</v>
      </c>
      <c r="E863" s="482">
        <v>14</v>
      </c>
      <c r="F863" s="99" t="s">
        <v>554</v>
      </c>
      <c r="H863" s="99">
        <f>'Справка 6'!Q24</f>
        <v>17255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50">
        <f t="shared" si="53"/>
        <v>44742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50">
        <f t="shared" si="53"/>
        <v>44742</v>
      </c>
      <c r="D865" s="99" t="s">
        <v>558</v>
      </c>
      <c r="E865" s="482">
        <v>14</v>
      </c>
      <c r="F865" s="99" t="s">
        <v>542</v>
      </c>
      <c r="H865" s="99">
        <f>'Справка 6'!Q26</f>
        <v>0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50">
        <f t="shared" si="53"/>
        <v>44742</v>
      </c>
      <c r="D866" s="99" t="s">
        <v>560</v>
      </c>
      <c r="E866" s="482">
        <v>14</v>
      </c>
      <c r="F866" s="99" t="s">
        <v>838</v>
      </c>
      <c r="H866" s="99">
        <f>'Справка 6'!Q27</f>
        <v>48138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50">
        <f t="shared" si="53"/>
        <v>44742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50">
        <f t="shared" si="53"/>
        <v>44742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50">
        <f t="shared" si="53"/>
        <v>44742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50">
        <f t="shared" si="53"/>
        <v>44742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50">
        <f t="shared" si="53"/>
        <v>44742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50">
        <f t="shared" si="53"/>
        <v>44742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50">
        <f t="shared" si="53"/>
        <v>44742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50">
        <f t="shared" si="53"/>
        <v>44742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50">
        <f t="shared" si="53"/>
        <v>44742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50">
        <f t="shared" si="53"/>
        <v>44742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50">
        <f t="shared" si="53"/>
        <v>44742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50">
        <f t="shared" si="53"/>
        <v>44742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50">
        <f t="shared" si="53"/>
        <v>44742</v>
      </c>
      <c r="D879" s="99" t="s">
        <v>581</v>
      </c>
      <c r="E879" s="482">
        <v>14</v>
      </c>
      <c r="F879" s="99" t="s">
        <v>580</v>
      </c>
      <c r="H879" s="99">
        <f>'Справка 6'!Q41</f>
        <v>17888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50">
        <f t="shared" si="53"/>
        <v>44742</v>
      </c>
      <c r="D880" s="99" t="s">
        <v>583</v>
      </c>
      <c r="E880" s="482">
        <v>14</v>
      </c>
      <c r="F880" s="99" t="s">
        <v>582</v>
      </c>
      <c r="H880" s="99">
        <f>'Справка 6'!Q42</f>
        <v>353265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50">
        <f t="shared" si="53"/>
        <v>44742</v>
      </c>
      <c r="D881" s="99" t="s">
        <v>523</v>
      </c>
      <c r="E881" s="482">
        <v>15</v>
      </c>
      <c r="F881" s="99" t="s">
        <v>522</v>
      </c>
      <c r="H881" s="99">
        <f>'Справка 6'!R11</f>
        <v>60912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50">
        <f t="shared" si="53"/>
        <v>44742</v>
      </c>
      <c r="D882" s="99" t="s">
        <v>526</v>
      </c>
      <c r="E882" s="482">
        <v>15</v>
      </c>
      <c r="F882" s="99" t="s">
        <v>525</v>
      </c>
      <c r="H882" s="99">
        <f>'Справка 6'!R12</f>
        <v>162722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50">
        <f t="shared" si="53"/>
        <v>44742</v>
      </c>
      <c r="D883" s="99" t="s">
        <v>529</v>
      </c>
      <c r="E883" s="482">
        <v>15</v>
      </c>
      <c r="F883" s="99" t="s">
        <v>528</v>
      </c>
      <c r="H883" s="99">
        <f>'Справка 6'!R13</f>
        <v>92105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50">
        <f t="shared" si="53"/>
        <v>44742</v>
      </c>
      <c r="D884" s="99" t="s">
        <v>532</v>
      </c>
      <c r="E884" s="482">
        <v>15</v>
      </c>
      <c r="F884" s="99" t="s">
        <v>531</v>
      </c>
      <c r="H884" s="99">
        <f>'Справка 6'!R14</f>
        <v>11480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50">
        <f t="shared" si="53"/>
        <v>44742</v>
      </c>
      <c r="D885" s="99" t="s">
        <v>535</v>
      </c>
      <c r="E885" s="482">
        <v>15</v>
      </c>
      <c r="F885" s="99" t="s">
        <v>534</v>
      </c>
      <c r="H885" s="99">
        <f>'Справка 6'!R15</f>
        <v>10286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50">
        <f t="shared" si="53"/>
        <v>44742</v>
      </c>
      <c r="D886" s="99" t="s">
        <v>537</v>
      </c>
      <c r="E886" s="482">
        <v>15</v>
      </c>
      <c r="F886" s="99" t="s">
        <v>536</v>
      </c>
      <c r="H886" s="99">
        <f>'Справка 6'!R16</f>
        <v>9681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50">
        <f t="shared" si="53"/>
        <v>44742</v>
      </c>
      <c r="D887" s="99" t="s">
        <v>540</v>
      </c>
      <c r="E887" s="482">
        <v>15</v>
      </c>
      <c r="F887" s="99" t="s">
        <v>539</v>
      </c>
      <c r="H887" s="99">
        <f>'Справка 6'!R17</f>
        <v>10635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50">
        <f t="shared" si="53"/>
        <v>44742</v>
      </c>
      <c r="D888" s="99" t="s">
        <v>543</v>
      </c>
      <c r="E888" s="482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50">
        <f t="shared" si="53"/>
        <v>44742</v>
      </c>
      <c r="D889" s="99" t="s">
        <v>545</v>
      </c>
      <c r="E889" s="482">
        <v>15</v>
      </c>
      <c r="F889" s="99" t="s">
        <v>804</v>
      </c>
      <c r="H889" s="99">
        <f>'Справка 6'!R19</f>
        <v>357821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50">
        <f t="shared" si="53"/>
        <v>44742</v>
      </c>
      <c r="D890" s="99" t="s">
        <v>547</v>
      </c>
      <c r="E890" s="482">
        <v>15</v>
      </c>
      <c r="F890" s="99" t="s">
        <v>546</v>
      </c>
      <c r="H890" s="99">
        <f>'Справка 6'!R20</f>
        <v>9446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50">
        <f t="shared" si="53"/>
        <v>44742</v>
      </c>
      <c r="D891" s="99" t="s">
        <v>549</v>
      </c>
      <c r="E891" s="482">
        <v>15</v>
      </c>
      <c r="F891" s="99" t="s">
        <v>548</v>
      </c>
      <c r="H891" s="99">
        <f>'Справка 6'!R21</f>
        <v>440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50">
        <f t="shared" si="53"/>
        <v>44742</v>
      </c>
      <c r="D892" s="99" t="s">
        <v>553</v>
      </c>
      <c r="E892" s="482">
        <v>15</v>
      </c>
      <c r="F892" s="99" t="s">
        <v>552</v>
      </c>
      <c r="H892" s="99">
        <f>'Справка 6'!R23</f>
        <v>30748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50">
        <f t="shared" si="53"/>
        <v>44742</v>
      </c>
      <c r="D893" s="99" t="s">
        <v>555</v>
      </c>
      <c r="E893" s="482">
        <v>15</v>
      </c>
      <c r="F893" s="99" t="s">
        <v>554</v>
      </c>
      <c r="H893" s="99">
        <f>'Справка 6'!R24</f>
        <v>18143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50">
        <f t="shared" si="53"/>
        <v>44742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50">
        <f t="shared" si="53"/>
        <v>44742</v>
      </c>
      <c r="D895" s="99" t="s">
        <v>558</v>
      </c>
      <c r="E895" s="482">
        <v>15</v>
      </c>
      <c r="F895" s="99" t="s">
        <v>542</v>
      </c>
      <c r="H895" s="99">
        <f>'Справка 6'!R26</f>
        <v>2055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50">
        <f t="shared" si="53"/>
        <v>44742</v>
      </c>
      <c r="D896" s="99" t="s">
        <v>560</v>
      </c>
      <c r="E896" s="482">
        <v>15</v>
      </c>
      <c r="F896" s="99" t="s">
        <v>838</v>
      </c>
      <c r="H896" s="99">
        <f>'Справка 6'!R27</f>
        <v>50946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50">
        <f t="shared" si="53"/>
        <v>44742</v>
      </c>
      <c r="D897" s="99" t="s">
        <v>562</v>
      </c>
      <c r="E897" s="482">
        <v>15</v>
      </c>
      <c r="F897" s="99" t="s">
        <v>561</v>
      </c>
      <c r="H897" s="99">
        <f>'Справка 6'!R29</f>
        <v>142196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50">
        <f t="shared" si="53"/>
        <v>44742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50">
        <f t="shared" si="53"/>
        <v>44742</v>
      </c>
      <c r="D899" s="99" t="s">
        <v>564</v>
      </c>
      <c r="E899" s="482">
        <v>15</v>
      </c>
      <c r="F899" s="99" t="s">
        <v>110</v>
      </c>
      <c r="H899" s="99">
        <f>'Справка 6'!R31</f>
        <v>2031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50">
        <f t="shared" si="53"/>
        <v>44742</v>
      </c>
      <c r="D900" s="99" t="s">
        <v>565</v>
      </c>
      <c r="E900" s="482">
        <v>15</v>
      </c>
      <c r="F900" s="99" t="s">
        <v>113</v>
      </c>
      <c r="H900" s="99">
        <f>'Справка 6'!R32</f>
        <v>134958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50">
        <f t="shared" si="53"/>
        <v>44742</v>
      </c>
      <c r="D901" s="99" t="s">
        <v>566</v>
      </c>
      <c r="E901" s="482">
        <v>15</v>
      </c>
      <c r="F901" s="99" t="s">
        <v>115</v>
      </c>
      <c r="H901" s="99">
        <f>'Справка 6'!R33</f>
        <v>5207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50">
        <f t="shared" si="53"/>
        <v>44742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50">
        <f t="shared" si="53"/>
        <v>44742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50">
        <f t="shared" si="53"/>
        <v>44742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50">
        <f t="shared" si="53"/>
        <v>44742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50">
        <f t="shared" si="53"/>
        <v>44742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50">
        <f t="shared" si="53"/>
        <v>44742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50">
        <f t="shared" si="53"/>
        <v>44742</v>
      </c>
      <c r="D908" s="99" t="s">
        <v>578</v>
      </c>
      <c r="E908" s="482">
        <v>15</v>
      </c>
      <c r="F908" s="99" t="s">
        <v>803</v>
      </c>
      <c r="H908" s="99">
        <f>'Справка 6'!R40</f>
        <v>142196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50">
        <f t="shared" si="53"/>
        <v>44742</v>
      </c>
      <c r="D909" s="99" t="s">
        <v>581</v>
      </c>
      <c r="E909" s="482">
        <v>15</v>
      </c>
      <c r="F909" s="99" t="s">
        <v>580</v>
      </c>
      <c r="H909" s="99">
        <f>'Справка 6'!R41</f>
        <v>13439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50">
        <f t="shared" si="53"/>
        <v>44742</v>
      </c>
      <c r="D910" s="99" t="s">
        <v>583</v>
      </c>
      <c r="E910" s="482">
        <v>15</v>
      </c>
      <c r="F910" s="99" t="s">
        <v>582</v>
      </c>
      <c r="H910" s="99">
        <f>'Справка 6'!R42</f>
        <v>574288</v>
      </c>
    </row>
    <row r="911" spans="1:8" s="483" customFormat="1">
      <c r="C911" s="549"/>
      <c r="F911" s="48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50">
        <f t="shared" ref="C912:C975" si="56">endDate</f>
        <v>44742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50">
        <f t="shared" si="56"/>
        <v>44742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50444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50">
        <f t="shared" si="56"/>
        <v>44742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50444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50">
        <f t="shared" si="56"/>
        <v>44742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50">
        <f t="shared" si="56"/>
        <v>44742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0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50">
        <f t="shared" si="56"/>
        <v>44742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6397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50">
        <f t="shared" si="56"/>
        <v>44742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4185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50">
        <f t="shared" si="56"/>
        <v>44742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50">
        <f t="shared" si="56"/>
        <v>44742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4185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50">
        <f t="shared" si="56"/>
        <v>44742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61026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50">
        <f t="shared" si="56"/>
        <v>44742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1291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50">
        <f t="shared" si="56"/>
        <v>44742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15998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50">
        <f t="shared" si="56"/>
        <v>44742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13780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50">
        <f t="shared" si="56"/>
        <v>44742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811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50">
        <f t="shared" si="56"/>
        <v>44742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1407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50">
        <f t="shared" si="56"/>
        <v>44742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227490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50">
        <f t="shared" si="56"/>
        <v>44742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16619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50">
        <f t="shared" si="56"/>
        <v>44742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1816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50">
        <f t="shared" si="56"/>
        <v>44742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13712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50">
        <f t="shared" si="56"/>
        <v>44742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50">
        <f t="shared" si="56"/>
        <v>44742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12147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50">
        <f t="shared" si="56"/>
        <v>44742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431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50">
        <f t="shared" si="56"/>
        <v>44742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6662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50">
        <f t="shared" si="56"/>
        <v>44742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50">
        <f t="shared" si="56"/>
        <v>44742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5054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50">
        <f t="shared" si="56"/>
        <v>44742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829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50">
        <f t="shared" si="56"/>
        <v>44742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50">
        <f t="shared" si="56"/>
        <v>44742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50">
        <f t="shared" si="56"/>
        <v>44742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50">
        <f t="shared" si="56"/>
        <v>44742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829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50">
        <f t="shared" si="56"/>
        <v>44742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288611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50">
        <f t="shared" si="56"/>
        <v>44742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350928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50">
        <f t="shared" si="56"/>
        <v>44742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50">
        <f t="shared" si="56"/>
        <v>44742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50">
        <f t="shared" si="56"/>
        <v>44742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50">
        <f t="shared" si="56"/>
        <v>44742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50">
        <f t="shared" si="56"/>
        <v>44742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50">
        <f t="shared" si="56"/>
        <v>44742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50">
        <f t="shared" si="56"/>
        <v>44742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50">
        <f t="shared" si="56"/>
        <v>44742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50">
        <f t="shared" si="56"/>
        <v>44742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50">
        <f t="shared" si="56"/>
        <v>44742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50">
        <f t="shared" si="56"/>
        <v>44742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50">
        <f t="shared" si="56"/>
        <v>44742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15998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50">
        <f t="shared" si="56"/>
        <v>44742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13780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50">
        <f t="shared" si="56"/>
        <v>44742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811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50">
        <f t="shared" si="56"/>
        <v>44742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1407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50">
        <f t="shared" si="56"/>
        <v>44742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227490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50">
        <f t="shared" si="56"/>
        <v>44742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16619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50">
        <f t="shared" si="56"/>
        <v>44742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1816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50">
        <f t="shared" si="56"/>
        <v>44742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13712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50">
        <f t="shared" si="56"/>
        <v>44742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50">
        <f t="shared" si="56"/>
        <v>44742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12147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50">
        <f t="shared" si="56"/>
        <v>44742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431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50">
        <f t="shared" si="56"/>
        <v>44742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6662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50">
        <f t="shared" si="56"/>
        <v>44742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50">
        <f t="shared" si="56"/>
        <v>44742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5054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50">
        <f t="shared" si="56"/>
        <v>44742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829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50">
        <f t="shared" si="56"/>
        <v>44742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50">
        <f t="shared" si="56"/>
        <v>44742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50">
        <f t="shared" si="56"/>
        <v>44742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50">
        <f t="shared" si="56"/>
        <v>44742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829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50">
        <f t="shared" si="56"/>
        <v>44742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288611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50">
        <f t="shared" si="56"/>
        <v>44742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288611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50">
        <f t="shared" ref="C976:C1039" si="59">endDate</f>
        <v>44742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50">
        <f t="shared" si="59"/>
        <v>44742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50444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50">
        <f t="shared" si="59"/>
        <v>44742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50444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50">
        <f t="shared" si="59"/>
        <v>44742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50">
        <f t="shared" si="59"/>
        <v>44742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0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50">
        <f t="shared" si="59"/>
        <v>44742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6397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50">
        <f t="shared" si="59"/>
        <v>44742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4185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50">
        <f t="shared" si="59"/>
        <v>44742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50">
        <f t="shared" si="59"/>
        <v>44742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4185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50">
        <f t="shared" si="59"/>
        <v>44742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61026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50">
        <f t="shared" si="59"/>
        <v>44742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1291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50">
        <f t="shared" si="59"/>
        <v>44742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50">
        <f t="shared" si="59"/>
        <v>44742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50">
        <f t="shared" si="59"/>
        <v>44742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50">
        <f t="shared" si="59"/>
        <v>44742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50">
        <f t="shared" si="59"/>
        <v>44742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50">
        <f t="shared" si="59"/>
        <v>44742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50">
        <f t="shared" si="59"/>
        <v>44742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50">
        <f t="shared" si="59"/>
        <v>44742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50">
        <f t="shared" si="59"/>
        <v>44742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50">
        <f t="shared" si="59"/>
        <v>44742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50">
        <f t="shared" si="59"/>
        <v>44742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50">
        <f t="shared" si="59"/>
        <v>44742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50">
        <f t="shared" si="59"/>
        <v>44742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50">
        <f t="shared" si="59"/>
        <v>44742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50">
        <f t="shared" si="59"/>
        <v>44742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50">
        <f t="shared" si="59"/>
        <v>44742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50">
        <f t="shared" si="59"/>
        <v>44742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50">
        <f t="shared" si="59"/>
        <v>44742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50">
        <f t="shared" si="59"/>
        <v>44742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50">
        <f t="shared" si="59"/>
        <v>44742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50">
        <f t="shared" si="59"/>
        <v>44742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62317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50">
        <f t="shared" si="59"/>
        <v>44742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10962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50">
        <f t="shared" si="59"/>
        <v>44742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50">
        <f t="shared" si="59"/>
        <v>44742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10962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50">
        <f t="shared" si="59"/>
        <v>44742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50">
        <f t="shared" si="59"/>
        <v>44742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41998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50">
        <f t="shared" si="59"/>
        <v>44742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41998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50">
        <f t="shared" si="59"/>
        <v>44742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50">
        <f t="shared" si="59"/>
        <v>44742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50">
        <f t="shared" si="59"/>
        <v>44742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50">
        <f t="shared" si="59"/>
        <v>44742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50">
        <f t="shared" si="59"/>
        <v>44742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50">
        <f t="shared" si="59"/>
        <v>44742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50">
        <f t="shared" si="59"/>
        <v>44742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60287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50">
        <f t="shared" si="59"/>
        <v>44742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37995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50">
        <f t="shared" si="59"/>
        <v>44742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113247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50">
        <f t="shared" si="59"/>
        <v>44742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7754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50">
        <f t="shared" si="59"/>
        <v>44742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3816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50">
        <f t="shared" si="59"/>
        <v>44742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3816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50">
        <f t="shared" si="59"/>
        <v>44742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50">
        <f t="shared" si="59"/>
        <v>44742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0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50">
        <f t="shared" si="59"/>
        <v>44742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175968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50">
        <f t="shared" si="59"/>
        <v>44742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175968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50">
        <f t="shared" si="59"/>
        <v>44742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50">
        <f t="shared" si="59"/>
        <v>44742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50">
        <f t="shared" si="59"/>
        <v>44742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50">
        <f t="shared" si="59"/>
        <v>44742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9402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50">
        <f t="shared" si="59"/>
        <v>44742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50">
        <f t="shared" si="59"/>
        <v>44742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50">
        <f t="shared" si="59"/>
        <v>44742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9402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50">
        <f t="shared" si="59"/>
        <v>44742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50">
        <f t="shared" si="59"/>
        <v>44742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181121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50">
        <f t="shared" si="59"/>
        <v>44742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50">
        <f t="shared" ref="C1040:C1103" si="62">endDate</f>
        <v>44742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155474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50">
        <f t="shared" si="62"/>
        <v>44742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542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50">
        <f t="shared" si="62"/>
        <v>44742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15966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50">
        <f t="shared" si="62"/>
        <v>44742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5528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50">
        <f t="shared" si="62"/>
        <v>44742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975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50">
        <f t="shared" si="62"/>
        <v>44742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3230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50">
        <f t="shared" si="62"/>
        <v>44742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1323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50">
        <f t="shared" si="62"/>
        <v>44742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3611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50">
        <f t="shared" si="62"/>
        <v>44742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24081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50">
        <f t="shared" si="62"/>
        <v>44742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394388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50">
        <f t="shared" si="62"/>
        <v>44742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515389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50">
        <f t="shared" si="62"/>
        <v>44742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50">
        <f t="shared" si="62"/>
        <v>44742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50">
        <f t="shared" si="62"/>
        <v>44742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50">
        <f t="shared" si="62"/>
        <v>44742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50">
        <f t="shared" si="62"/>
        <v>44742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50">
        <f t="shared" si="62"/>
        <v>44742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50">
        <f t="shared" si="62"/>
        <v>44742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50">
        <f t="shared" si="62"/>
        <v>44742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50">
        <f t="shared" si="62"/>
        <v>44742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50">
        <f t="shared" si="62"/>
        <v>44742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50">
        <f t="shared" si="62"/>
        <v>44742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50">
        <f t="shared" si="62"/>
        <v>44742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50">
        <f t="shared" si="62"/>
        <v>44742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50">
        <f t="shared" si="62"/>
        <v>44742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50">
        <f t="shared" si="62"/>
        <v>44742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50">
        <f t="shared" si="62"/>
        <v>44742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50">
        <f t="shared" si="62"/>
        <v>44742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3816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50">
        <f t="shared" si="62"/>
        <v>44742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3816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50">
        <f t="shared" si="62"/>
        <v>44742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50">
        <f t="shared" si="62"/>
        <v>44742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0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50">
        <f t="shared" si="62"/>
        <v>44742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175968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50">
        <f t="shared" si="62"/>
        <v>44742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175968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50">
        <f t="shared" si="62"/>
        <v>44742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50">
        <f t="shared" si="62"/>
        <v>44742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50">
        <f t="shared" si="62"/>
        <v>44742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50">
        <f t="shared" si="62"/>
        <v>44742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9402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50">
        <f t="shared" si="62"/>
        <v>44742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50">
        <f t="shared" si="62"/>
        <v>44742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50">
        <f t="shared" si="62"/>
        <v>44742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9402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50">
        <f t="shared" si="62"/>
        <v>44742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50">
        <f t="shared" si="62"/>
        <v>44742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181121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50">
        <f t="shared" si="62"/>
        <v>44742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50">
        <f t="shared" si="62"/>
        <v>44742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155474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50">
        <f t="shared" si="62"/>
        <v>44742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542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50">
        <f t="shared" si="62"/>
        <v>44742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15966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50">
        <f t="shared" si="62"/>
        <v>44742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5528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50">
        <f t="shared" si="62"/>
        <v>44742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975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50">
        <f t="shared" si="62"/>
        <v>44742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3230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50">
        <f t="shared" si="62"/>
        <v>44742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1323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50">
        <f t="shared" si="62"/>
        <v>44742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3611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50">
        <f t="shared" si="62"/>
        <v>44742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24081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50">
        <f t="shared" si="62"/>
        <v>44742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394388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50">
        <f t="shared" si="62"/>
        <v>44742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394388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50">
        <f t="shared" si="62"/>
        <v>44742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10962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50">
        <f t="shared" si="62"/>
        <v>44742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50">
        <f t="shared" si="62"/>
        <v>44742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10962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50">
        <f t="shared" si="62"/>
        <v>44742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50">
        <f t="shared" si="62"/>
        <v>44742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41998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50">
        <f t="shared" si="62"/>
        <v>44742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41998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50">
        <f t="shared" si="62"/>
        <v>44742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50">
        <f t="shared" si="62"/>
        <v>44742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50">
        <f t="shared" si="62"/>
        <v>44742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50">
        <f t="shared" si="62"/>
        <v>44742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50">
        <f t="shared" ref="C1104:C1167" si="65">endDate</f>
        <v>44742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50">
        <f t="shared" si="65"/>
        <v>44742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50">
        <f t="shared" si="65"/>
        <v>44742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60287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50">
        <f t="shared" si="65"/>
        <v>44742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37995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50">
        <f t="shared" si="65"/>
        <v>44742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113247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50">
        <f t="shared" si="65"/>
        <v>44742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7754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50">
        <f t="shared" si="65"/>
        <v>44742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50">
        <f t="shared" si="65"/>
        <v>44742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50">
        <f t="shared" si="65"/>
        <v>44742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50">
        <f t="shared" si="65"/>
        <v>44742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50">
        <f t="shared" si="65"/>
        <v>44742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50">
        <f t="shared" si="65"/>
        <v>44742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50">
        <f t="shared" si="65"/>
        <v>44742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50">
        <f t="shared" si="65"/>
        <v>44742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50">
        <f t="shared" si="65"/>
        <v>44742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50">
        <f t="shared" si="65"/>
        <v>44742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50">
        <f t="shared" si="65"/>
        <v>44742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50">
        <f t="shared" si="65"/>
        <v>44742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50">
        <f t="shared" si="65"/>
        <v>44742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50">
        <f t="shared" si="65"/>
        <v>44742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50">
        <f t="shared" si="65"/>
        <v>44742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50">
        <f t="shared" si="65"/>
        <v>44742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50">
        <f t="shared" si="65"/>
        <v>44742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50">
        <f t="shared" si="65"/>
        <v>44742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50">
        <f t="shared" si="65"/>
        <v>44742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50">
        <f t="shared" si="65"/>
        <v>44742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50">
        <f t="shared" si="65"/>
        <v>44742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50">
        <f t="shared" si="65"/>
        <v>44742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50">
        <f t="shared" si="65"/>
        <v>44742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50">
        <f t="shared" si="65"/>
        <v>44742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50">
        <f t="shared" si="65"/>
        <v>44742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50">
        <f t="shared" si="65"/>
        <v>44742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50">
        <f t="shared" si="65"/>
        <v>44742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121001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50">
        <f t="shared" si="65"/>
        <v>44742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50">
        <f t="shared" si="65"/>
        <v>44742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50">
        <f t="shared" si="65"/>
        <v>44742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50">
        <f t="shared" si="65"/>
        <v>44742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50">
        <f t="shared" si="65"/>
        <v>44742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51208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50">
        <f t="shared" si="65"/>
        <v>44742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51208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50">
        <f t="shared" si="65"/>
        <v>44742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50">
        <f t="shared" si="65"/>
        <v>44742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50">
        <f t="shared" si="65"/>
        <v>44742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50">
        <f t="shared" si="65"/>
        <v>44742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50">
        <f t="shared" si="65"/>
        <v>44742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50">
        <f t="shared" si="65"/>
        <v>44742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50">
        <f t="shared" si="65"/>
        <v>44742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50">
        <f t="shared" si="65"/>
        <v>44742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50">
        <f t="shared" si="65"/>
        <v>44742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51208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50">
        <f t="shared" si="65"/>
        <v>44742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50">
        <f t="shared" si="65"/>
        <v>44742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50">
        <f t="shared" si="65"/>
        <v>44742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50">
        <f t="shared" si="65"/>
        <v>44742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50">
        <f t="shared" si="65"/>
        <v>44742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50">
        <f t="shared" si="65"/>
        <v>44742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379122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50">
        <f t="shared" si="65"/>
        <v>44742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379122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50">
        <f t="shared" si="65"/>
        <v>44742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50">
        <f t="shared" si="65"/>
        <v>44742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50">
        <f t="shared" si="65"/>
        <v>44742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50">
        <f t="shared" si="65"/>
        <v>44742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50">
        <f t="shared" si="65"/>
        <v>44742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50">
        <f t="shared" si="65"/>
        <v>44742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50">
        <f t="shared" si="65"/>
        <v>44742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50">
        <f t="shared" si="65"/>
        <v>44742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50">
        <f t="shared" si="65"/>
        <v>44742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50">
        <f t="shared" ref="C1168:C1195" si="68">endDate</f>
        <v>44742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50">
        <f t="shared" si="68"/>
        <v>44742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50">
        <f t="shared" si="68"/>
        <v>44742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50">
        <f t="shared" si="68"/>
        <v>44742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50">
        <f t="shared" si="68"/>
        <v>44742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50">
        <f t="shared" si="68"/>
        <v>44742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50">
        <f t="shared" si="68"/>
        <v>44742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50">
        <f t="shared" si="68"/>
        <v>44742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50">
        <f t="shared" si="68"/>
        <v>44742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50">
        <f t="shared" si="68"/>
        <v>44742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50">
        <f t="shared" si="68"/>
        <v>44742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379122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50">
        <f t="shared" si="68"/>
        <v>44742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430330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50">
        <f t="shared" si="68"/>
        <v>44742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50">
        <f t="shared" si="68"/>
        <v>44742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50">
        <f t="shared" si="68"/>
        <v>44742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139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50">
        <f t="shared" si="68"/>
        <v>44742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139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50">
        <f t="shared" si="68"/>
        <v>44742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50">
        <f t="shared" si="68"/>
        <v>44742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50">
        <f t="shared" si="68"/>
        <v>44742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0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50">
        <f t="shared" si="68"/>
        <v>44742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0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50">
        <f t="shared" si="68"/>
        <v>44742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50">
        <f t="shared" si="68"/>
        <v>44742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50">
        <f t="shared" si="68"/>
        <v>44742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50">
        <f t="shared" si="68"/>
        <v>44742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50">
        <f t="shared" si="68"/>
        <v>44742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50">
        <f t="shared" si="68"/>
        <v>44742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50">
        <f t="shared" si="68"/>
        <v>44742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139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50">
        <f t="shared" si="68"/>
        <v>44742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139</v>
      </c>
    </row>
    <row r="1196" spans="1:8" s="483" customFormat="1">
      <c r="C1196" s="549"/>
      <c r="F1196" s="48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50">
        <f t="shared" ref="C1197:C1228" si="71">endDate</f>
        <v>44742</v>
      </c>
      <c r="D1197" s="99" t="s">
        <v>763</v>
      </c>
      <c r="E1197" s="99">
        <v>1</v>
      </c>
      <c r="F1197" s="99" t="s">
        <v>762</v>
      </c>
      <c r="H1197" s="484">
        <f>'Справка 8 общо'!C13</f>
        <v>15192534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50">
        <f t="shared" si="71"/>
        <v>44742</v>
      </c>
      <c r="D1198" s="99" t="s">
        <v>765</v>
      </c>
      <c r="E1198" s="99">
        <v>1</v>
      </c>
      <c r="F1198" s="99" t="s">
        <v>764</v>
      </c>
      <c r="H1198" s="484">
        <f>'Справка 8 общо'!C14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50">
        <f t="shared" si="71"/>
        <v>44742</v>
      </c>
      <c r="D1199" s="99" t="s">
        <v>766</v>
      </c>
      <c r="E1199" s="99">
        <v>1</v>
      </c>
      <c r="F1199" s="99" t="s">
        <v>572</v>
      </c>
      <c r="H1199" s="484">
        <f>'Справка 8 общо'!C15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50">
        <f t="shared" si="71"/>
        <v>44742</v>
      </c>
      <c r="D1200" s="99" t="s">
        <v>768</v>
      </c>
      <c r="E1200" s="99">
        <v>1</v>
      </c>
      <c r="F1200" s="99" t="s">
        <v>767</v>
      </c>
      <c r="H1200" s="484">
        <f>'Справка 8 общо'!C16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50">
        <f t="shared" si="71"/>
        <v>44742</v>
      </c>
      <c r="D1201" s="99" t="s">
        <v>769</v>
      </c>
      <c r="E1201" s="99">
        <v>1</v>
      </c>
      <c r="F1201" s="99" t="s">
        <v>79</v>
      </c>
      <c r="H1201" s="484">
        <f>'Справка 8 общо'!C17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50">
        <f t="shared" si="71"/>
        <v>44742</v>
      </c>
      <c r="D1202" s="99" t="s">
        <v>770</v>
      </c>
      <c r="E1202" s="99">
        <v>1</v>
      </c>
      <c r="F1202" s="99" t="s">
        <v>761</v>
      </c>
      <c r="H1202" s="484">
        <f>'Справка 8 общо'!C18</f>
        <v>15192534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50">
        <f t="shared" si="71"/>
        <v>44742</v>
      </c>
      <c r="D1203" s="99" t="s">
        <v>772</v>
      </c>
      <c r="E1203" s="99">
        <v>1</v>
      </c>
      <c r="F1203" s="99" t="s">
        <v>762</v>
      </c>
      <c r="H1203" s="484">
        <f>'Справка 8 общо'!C20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50">
        <f t="shared" si="71"/>
        <v>44742</v>
      </c>
      <c r="D1204" s="99" t="s">
        <v>774</v>
      </c>
      <c r="E1204" s="99">
        <v>1</v>
      </c>
      <c r="F1204" s="99" t="s">
        <v>773</v>
      </c>
      <c r="H1204" s="484">
        <f>'Справка 8 общо'!C21</f>
        <v>13479000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50">
        <f t="shared" si="71"/>
        <v>44742</v>
      </c>
      <c r="D1205" s="99" t="s">
        <v>776</v>
      </c>
      <c r="E1205" s="99">
        <v>1</v>
      </c>
      <c r="F1205" s="99" t="s">
        <v>775</v>
      </c>
      <c r="H1205" s="484">
        <f>'Справка 8 общо'!C22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50">
        <f t="shared" si="71"/>
        <v>44742</v>
      </c>
      <c r="D1206" s="99" t="s">
        <v>778</v>
      </c>
      <c r="E1206" s="99">
        <v>1</v>
      </c>
      <c r="F1206" s="99" t="s">
        <v>777</v>
      </c>
      <c r="H1206" s="484">
        <f>'Справка 8 общо'!C23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50">
        <f t="shared" si="71"/>
        <v>44742</v>
      </c>
      <c r="D1207" s="99" t="s">
        <v>780</v>
      </c>
      <c r="E1207" s="99">
        <v>1</v>
      </c>
      <c r="F1207" s="99" t="s">
        <v>779</v>
      </c>
      <c r="H1207" s="484">
        <f>'Справка 8 общо'!C24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50">
        <f t="shared" si="71"/>
        <v>44742</v>
      </c>
      <c r="D1208" s="99" t="s">
        <v>782</v>
      </c>
      <c r="E1208" s="99">
        <v>1</v>
      </c>
      <c r="F1208" s="99" t="s">
        <v>781</v>
      </c>
      <c r="H1208" s="484">
        <f>'Справка 8 общо'!C25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50">
        <f t="shared" si="71"/>
        <v>44742</v>
      </c>
      <c r="D1209" s="99" t="s">
        <v>784</v>
      </c>
      <c r="E1209" s="99">
        <v>1</v>
      </c>
      <c r="F1209" s="99" t="s">
        <v>783</v>
      </c>
      <c r="H1209" s="484">
        <f>'Справка 8 общо'!C26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50">
        <f t="shared" si="71"/>
        <v>44742</v>
      </c>
      <c r="D1210" s="99" t="s">
        <v>786</v>
      </c>
      <c r="E1210" s="99">
        <v>1</v>
      </c>
      <c r="F1210" s="99" t="s">
        <v>771</v>
      </c>
      <c r="H1210" s="484">
        <f>'Справка 8 общо'!C27</f>
        <v>13479000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50">
        <f t="shared" si="71"/>
        <v>44742</v>
      </c>
      <c r="D1211" s="99" t="s">
        <v>763</v>
      </c>
      <c r="E1211" s="99">
        <v>2</v>
      </c>
      <c r="F1211" s="99" t="s">
        <v>762</v>
      </c>
      <c r="H1211" s="484">
        <f>'Справка 8 общо'!D13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50">
        <f t="shared" si="71"/>
        <v>44742</v>
      </c>
      <c r="D1212" s="99" t="s">
        <v>765</v>
      </c>
      <c r="E1212" s="99">
        <v>2</v>
      </c>
      <c r="F1212" s="99" t="s">
        <v>764</v>
      </c>
      <c r="H1212" s="484">
        <f>'Справка 8 общо'!D14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50">
        <f t="shared" si="71"/>
        <v>44742</v>
      </c>
      <c r="D1213" s="99" t="s">
        <v>766</v>
      </c>
      <c r="E1213" s="99">
        <v>2</v>
      </c>
      <c r="F1213" s="99" t="s">
        <v>572</v>
      </c>
      <c r="H1213" s="484">
        <f>'Справка 8 общо'!D15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50">
        <f t="shared" si="71"/>
        <v>44742</v>
      </c>
      <c r="D1214" s="99" t="s">
        <v>768</v>
      </c>
      <c r="E1214" s="99">
        <v>2</v>
      </c>
      <c r="F1214" s="99" t="s">
        <v>767</v>
      </c>
      <c r="H1214" s="484">
        <f>'Справка 8 общо'!D16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50">
        <f t="shared" si="71"/>
        <v>44742</v>
      </c>
      <c r="D1215" s="99" t="s">
        <v>769</v>
      </c>
      <c r="E1215" s="99">
        <v>2</v>
      </c>
      <c r="F1215" s="99" t="s">
        <v>79</v>
      </c>
      <c r="H1215" s="484">
        <f>'Справка 8 общо'!D17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50">
        <f t="shared" si="71"/>
        <v>44742</v>
      </c>
      <c r="D1216" s="99" t="s">
        <v>770</v>
      </c>
      <c r="E1216" s="99">
        <v>2</v>
      </c>
      <c r="F1216" s="99" t="s">
        <v>761</v>
      </c>
      <c r="H1216" s="484">
        <f>'Справка 8 общо'!D18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50">
        <f t="shared" si="71"/>
        <v>44742</v>
      </c>
      <c r="D1217" s="99" t="s">
        <v>772</v>
      </c>
      <c r="E1217" s="99">
        <v>2</v>
      </c>
      <c r="F1217" s="99" t="s">
        <v>762</v>
      </c>
      <c r="H1217" s="484">
        <f>'Справка 8 общо'!D20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50">
        <f t="shared" si="71"/>
        <v>44742</v>
      </c>
      <c r="D1218" s="99" t="s">
        <v>774</v>
      </c>
      <c r="E1218" s="99">
        <v>2</v>
      </c>
      <c r="F1218" s="99" t="s">
        <v>773</v>
      </c>
      <c r="H1218" s="484">
        <f>'Справка 8 общо'!D21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50">
        <f t="shared" si="71"/>
        <v>44742</v>
      </c>
      <c r="D1219" s="99" t="s">
        <v>776</v>
      </c>
      <c r="E1219" s="99">
        <v>2</v>
      </c>
      <c r="F1219" s="99" t="s">
        <v>775</v>
      </c>
      <c r="H1219" s="484">
        <f>'Справка 8 общо'!D22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50">
        <f t="shared" si="71"/>
        <v>44742</v>
      </c>
      <c r="D1220" s="99" t="s">
        <v>778</v>
      </c>
      <c r="E1220" s="99">
        <v>2</v>
      </c>
      <c r="F1220" s="99" t="s">
        <v>777</v>
      </c>
      <c r="H1220" s="484">
        <f>'Справка 8 общо'!D23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50">
        <f t="shared" si="71"/>
        <v>44742</v>
      </c>
      <c r="D1221" s="99" t="s">
        <v>780</v>
      </c>
      <c r="E1221" s="99">
        <v>2</v>
      </c>
      <c r="F1221" s="99" t="s">
        <v>779</v>
      </c>
      <c r="H1221" s="484">
        <f>'Справка 8 общо'!D24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50">
        <f t="shared" si="71"/>
        <v>44742</v>
      </c>
      <c r="D1222" s="99" t="s">
        <v>782</v>
      </c>
      <c r="E1222" s="99">
        <v>2</v>
      </c>
      <c r="F1222" s="99" t="s">
        <v>781</v>
      </c>
      <c r="H1222" s="484">
        <f>'Справка 8 общо'!D25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50">
        <f t="shared" si="71"/>
        <v>44742</v>
      </c>
      <c r="D1223" s="99" t="s">
        <v>784</v>
      </c>
      <c r="E1223" s="99">
        <v>2</v>
      </c>
      <c r="F1223" s="99" t="s">
        <v>783</v>
      </c>
      <c r="H1223" s="484">
        <f>'Справка 8 общо'!D26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50">
        <f t="shared" si="71"/>
        <v>44742</v>
      </c>
      <c r="D1224" s="99" t="s">
        <v>786</v>
      </c>
      <c r="E1224" s="99">
        <v>2</v>
      </c>
      <c r="F1224" s="99" t="s">
        <v>771</v>
      </c>
      <c r="H1224" s="484">
        <f>'Справка 8 общо'!D27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50">
        <f t="shared" si="71"/>
        <v>44742</v>
      </c>
      <c r="D1225" s="99" t="s">
        <v>763</v>
      </c>
      <c r="E1225" s="99">
        <v>3</v>
      </c>
      <c r="F1225" s="99" t="s">
        <v>762</v>
      </c>
      <c r="H1225" s="484">
        <f>'Справка 8 общо'!E13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50">
        <f t="shared" si="71"/>
        <v>44742</v>
      </c>
      <c r="D1226" s="99" t="s">
        <v>765</v>
      </c>
      <c r="E1226" s="99">
        <v>3</v>
      </c>
      <c r="F1226" s="99" t="s">
        <v>764</v>
      </c>
      <c r="H1226" s="484">
        <f>'Справка 8 общо'!E14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50">
        <f t="shared" si="71"/>
        <v>44742</v>
      </c>
      <c r="D1227" s="99" t="s">
        <v>766</v>
      </c>
      <c r="E1227" s="99">
        <v>3</v>
      </c>
      <c r="F1227" s="99" t="s">
        <v>572</v>
      </c>
      <c r="H1227" s="484">
        <f>'Справка 8 общо'!E15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50">
        <f t="shared" si="71"/>
        <v>44742</v>
      </c>
      <c r="D1228" s="99" t="s">
        <v>768</v>
      </c>
      <c r="E1228" s="99">
        <v>3</v>
      </c>
      <c r="F1228" s="99" t="s">
        <v>767</v>
      </c>
      <c r="H1228" s="484">
        <f>'Справка 8 общо'!E16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50">
        <f t="shared" ref="C1229:C1260" si="74">endDate</f>
        <v>44742</v>
      </c>
      <c r="D1229" s="99" t="s">
        <v>769</v>
      </c>
      <c r="E1229" s="99">
        <v>3</v>
      </c>
      <c r="F1229" s="99" t="s">
        <v>79</v>
      </c>
      <c r="H1229" s="484">
        <f>'Справка 8 общо'!E17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50">
        <f t="shared" si="74"/>
        <v>44742</v>
      </c>
      <c r="D1230" s="99" t="s">
        <v>770</v>
      </c>
      <c r="E1230" s="99">
        <v>3</v>
      </c>
      <c r="F1230" s="99" t="s">
        <v>761</v>
      </c>
      <c r="H1230" s="484">
        <f>'Справка 8 общо'!E18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50">
        <f t="shared" si="74"/>
        <v>44742</v>
      </c>
      <c r="D1231" s="99" t="s">
        <v>772</v>
      </c>
      <c r="E1231" s="99">
        <v>3</v>
      </c>
      <c r="F1231" s="99" t="s">
        <v>762</v>
      </c>
      <c r="H1231" s="484">
        <f>'Справка 8 общо'!E20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50">
        <f t="shared" si="74"/>
        <v>44742</v>
      </c>
      <c r="D1232" s="99" t="s">
        <v>774</v>
      </c>
      <c r="E1232" s="99">
        <v>3</v>
      </c>
      <c r="F1232" s="99" t="s">
        <v>773</v>
      </c>
      <c r="H1232" s="484">
        <f>'Справка 8 общо'!E21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50">
        <f t="shared" si="74"/>
        <v>44742</v>
      </c>
      <c r="D1233" s="99" t="s">
        <v>776</v>
      </c>
      <c r="E1233" s="99">
        <v>3</v>
      </c>
      <c r="F1233" s="99" t="s">
        <v>775</v>
      </c>
      <c r="H1233" s="484">
        <f>'Справка 8 общо'!E22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50">
        <f t="shared" si="74"/>
        <v>44742</v>
      </c>
      <c r="D1234" s="99" t="s">
        <v>778</v>
      </c>
      <c r="E1234" s="99">
        <v>3</v>
      </c>
      <c r="F1234" s="99" t="s">
        <v>777</v>
      </c>
      <c r="H1234" s="484">
        <f>'Справка 8 общо'!E23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50">
        <f t="shared" si="74"/>
        <v>44742</v>
      </c>
      <c r="D1235" s="99" t="s">
        <v>780</v>
      </c>
      <c r="E1235" s="99">
        <v>3</v>
      </c>
      <c r="F1235" s="99" t="s">
        <v>779</v>
      </c>
      <c r="H1235" s="484">
        <f>'Справка 8 общо'!E24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50">
        <f t="shared" si="74"/>
        <v>44742</v>
      </c>
      <c r="D1236" s="99" t="s">
        <v>782</v>
      </c>
      <c r="E1236" s="99">
        <v>3</v>
      </c>
      <c r="F1236" s="99" t="s">
        <v>781</v>
      </c>
      <c r="H1236" s="484">
        <f>'Справка 8 общо'!E25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50">
        <f t="shared" si="74"/>
        <v>44742</v>
      </c>
      <c r="D1237" s="99" t="s">
        <v>784</v>
      </c>
      <c r="E1237" s="99">
        <v>3</v>
      </c>
      <c r="F1237" s="99" t="s">
        <v>783</v>
      </c>
      <c r="H1237" s="484">
        <f>'Справка 8 общо'!E26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50">
        <f t="shared" si="74"/>
        <v>44742</v>
      </c>
      <c r="D1238" s="99" t="s">
        <v>786</v>
      </c>
      <c r="E1238" s="99">
        <v>3</v>
      </c>
      <c r="F1238" s="99" t="s">
        <v>771</v>
      </c>
      <c r="H1238" s="484">
        <f>'Справка 8 общо'!E27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50">
        <f t="shared" si="74"/>
        <v>44742</v>
      </c>
      <c r="D1239" s="99" t="s">
        <v>763</v>
      </c>
      <c r="E1239" s="99">
        <v>4</v>
      </c>
      <c r="F1239" s="99" t="s">
        <v>762</v>
      </c>
      <c r="H1239" s="484">
        <f>'Справка 8 общо'!F13</f>
        <v>142615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50">
        <f t="shared" si="74"/>
        <v>44742</v>
      </c>
      <c r="D1240" s="99" t="s">
        <v>765</v>
      </c>
      <c r="E1240" s="99">
        <v>4</v>
      </c>
      <c r="F1240" s="99" t="s">
        <v>764</v>
      </c>
      <c r="H1240" s="484">
        <f>'Справка 8 общо'!F14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50">
        <f t="shared" si="74"/>
        <v>44742</v>
      </c>
      <c r="D1241" s="99" t="s">
        <v>766</v>
      </c>
      <c r="E1241" s="99">
        <v>4</v>
      </c>
      <c r="F1241" s="99" t="s">
        <v>572</v>
      </c>
      <c r="H1241" s="484">
        <f>'Справка 8 общо'!F15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50">
        <f t="shared" si="74"/>
        <v>44742</v>
      </c>
      <c r="D1242" s="99" t="s">
        <v>768</v>
      </c>
      <c r="E1242" s="99">
        <v>4</v>
      </c>
      <c r="F1242" s="99" t="s">
        <v>767</v>
      </c>
      <c r="H1242" s="484">
        <f>'Справка 8 общо'!F16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50">
        <f t="shared" si="74"/>
        <v>44742</v>
      </c>
      <c r="D1243" s="99" t="s">
        <v>769</v>
      </c>
      <c r="E1243" s="99">
        <v>4</v>
      </c>
      <c r="F1243" s="99" t="s">
        <v>79</v>
      </c>
      <c r="H1243" s="484">
        <f>'Справка 8 общо'!F17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50">
        <f t="shared" si="74"/>
        <v>44742</v>
      </c>
      <c r="D1244" s="99" t="s">
        <v>770</v>
      </c>
      <c r="E1244" s="99">
        <v>4</v>
      </c>
      <c r="F1244" s="99" t="s">
        <v>761</v>
      </c>
      <c r="H1244" s="484">
        <f>'Справка 8 общо'!F18</f>
        <v>142615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50">
        <f t="shared" si="74"/>
        <v>44742</v>
      </c>
      <c r="D1245" s="99" t="s">
        <v>772</v>
      </c>
      <c r="E1245" s="99">
        <v>4</v>
      </c>
      <c r="F1245" s="99" t="s">
        <v>762</v>
      </c>
      <c r="H1245" s="484">
        <f>'Справка 8 общо'!F20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50">
        <f t="shared" si="74"/>
        <v>44742</v>
      </c>
      <c r="D1246" s="99" t="s">
        <v>774</v>
      </c>
      <c r="E1246" s="99">
        <v>4</v>
      </c>
      <c r="F1246" s="99" t="s">
        <v>773</v>
      </c>
      <c r="H1246" s="484">
        <f>'Справка 8 общо'!F21</f>
        <v>52202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50">
        <f t="shared" si="74"/>
        <v>44742</v>
      </c>
      <c r="D1247" s="99" t="s">
        <v>776</v>
      </c>
      <c r="E1247" s="99">
        <v>4</v>
      </c>
      <c r="F1247" s="99" t="s">
        <v>775</v>
      </c>
      <c r="H1247" s="484">
        <f>'Справка 8 общо'!F22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50">
        <f t="shared" si="74"/>
        <v>44742</v>
      </c>
      <c r="D1248" s="99" t="s">
        <v>778</v>
      </c>
      <c r="E1248" s="99">
        <v>4</v>
      </c>
      <c r="F1248" s="99" t="s">
        <v>777</v>
      </c>
      <c r="H1248" s="484">
        <f>'Справка 8 общо'!F23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50">
        <f t="shared" si="74"/>
        <v>44742</v>
      </c>
      <c r="D1249" s="99" t="s">
        <v>780</v>
      </c>
      <c r="E1249" s="99">
        <v>4</v>
      </c>
      <c r="F1249" s="99" t="s">
        <v>779</v>
      </c>
      <c r="H1249" s="484">
        <f>'Справка 8 общо'!F24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50">
        <f t="shared" si="74"/>
        <v>44742</v>
      </c>
      <c r="D1250" s="99" t="s">
        <v>782</v>
      </c>
      <c r="E1250" s="99">
        <v>4</v>
      </c>
      <c r="F1250" s="99" t="s">
        <v>781</v>
      </c>
      <c r="H1250" s="484">
        <f>'Справка 8 общо'!F25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50">
        <f t="shared" si="74"/>
        <v>44742</v>
      </c>
      <c r="D1251" s="99" t="s">
        <v>784</v>
      </c>
      <c r="E1251" s="99">
        <v>4</v>
      </c>
      <c r="F1251" s="99" t="s">
        <v>783</v>
      </c>
      <c r="H1251" s="484">
        <f>'Справка 8 общо'!F26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50">
        <f t="shared" si="74"/>
        <v>44742</v>
      </c>
      <c r="D1252" s="99" t="s">
        <v>786</v>
      </c>
      <c r="E1252" s="99">
        <v>4</v>
      </c>
      <c r="F1252" s="99" t="s">
        <v>771</v>
      </c>
      <c r="H1252" s="484">
        <f>'Справка 8 общо'!F27</f>
        <v>52202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50">
        <f t="shared" si="74"/>
        <v>44742</v>
      </c>
      <c r="D1253" s="99" t="s">
        <v>763</v>
      </c>
      <c r="E1253" s="99">
        <v>5</v>
      </c>
      <c r="F1253" s="99" t="s">
        <v>762</v>
      </c>
      <c r="H1253" s="484">
        <f>'Справка 8 общо'!G13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50">
        <f t="shared" si="74"/>
        <v>44742</v>
      </c>
      <c r="D1254" s="99" t="s">
        <v>765</v>
      </c>
      <c r="E1254" s="99">
        <v>5</v>
      </c>
      <c r="F1254" s="99" t="s">
        <v>764</v>
      </c>
      <c r="H1254" s="484">
        <f>'Справка 8 общо'!G14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50">
        <f t="shared" si="74"/>
        <v>44742</v>
      </c>
      <c r="D1255" s="99" t="s">
        <v>766</v>
      </c>
      <c r="E1255" s="99">
        <v>5</v>
      </c>
      <c r="F1255" s="99" t="s">
        <v>572</v>
      </c>
      <c r="H1255" s="484">
        <f>'Справка 8 общо'!G15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50">
        <f t="shared" si="74"/>
        <v>44742</v>
      </c>
      <c r="D1256" s="99" t="s">
        <v>768</v>
      </c>
      <c r="E1256" s="99">
        <v>5</v>
      </c>
      <c r="F1256" s="99" t="s">
        <v>767</v>
      </c>
      <c r="H1256" s="484">
        <f>'Справка 8 общо'!G16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50">
        <f t="shared" si="74"/>
        <v>44742</v>
      </c>
      <c r="D1257" s="99" t="s">
        <v>769</v>
      </c>
      <c r="E1257" s="99">
        <v>5</v>
      </c>
      <c r="F1257" s="99" t="s">
        <v>79</v>
      </c>
      <c r="H1257" s="484">
        <f>'Справка 8 общо'!G17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50">
        <f t="shared" si="74"/>
        <v>44742</v>
      </c>
      <c r="D1258" s="99" t="s">
        <v>770</v>
      </c>
      <c r="E1258" s="99">
        <v>5</v>
      </c>
      <c r="F1258" s="99" t="s">
        <v>761</v>
      </c>
      <c r="H1258" s="484">
        <f>'Справка 8 общо'!G18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50">
        <f t="shared" si="74"/>
        <v>44742</v>
      </c>
      <c r="D1259" s="99" t="s">
        <v>772</v>
      </c>
      <c r="E1259" s="99">
        <v>5</v>
      </c>
      <c r="F1259" s="99" t="s">
        <v>762</v>
      </c>
      <c r="H1259" s="484">
        <f>'Справка 8 общо'!G20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50">
        <f t="shared" si="74"/>
        <v>44742</v>
      </c>
      <c r="D1260" s="99" t="s">
        <v>774</v>
      </c>
      <c r="E1260" s="99">
        <v>5</v>
      </c>
      <c r="F1260" s="99" t="s">
        <v>773</v>
      </c>
      <c r="H1260" s="484">
        <f>'Справка 8 общо'!G21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50">
        <f t="shared" ref="C1261:C1294" si="77">endDate</f>
        <v>44742</v>
      </c>
      <c r="D1261" s="99" t="s">
        <v>776</v>
      </c>
      <c r="E1261" s="99">
        <v>5</v>
      </c>
      <c r="F1261" s="99" t="s">
        <v>775</v>
      </c>
      <c r="H1261" s="484">
        <f>'Справка 8 общо'!G22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50">
        <f t="shared" si="77"/>
        <v>44742</v>
      </c>
      <c r="D1262" s="99" t="s">
        <v>778</v>
      </c>
      <c r="E1262" s="99">
        <v>5</v>
      </c>
      <c r="F1262" s="99" t="s">
        <v>777</v>
      </c>
      <c r="H1262" s="484">
        <f>'Справка 8 общо'!G23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50">
        <f t="shared" si="77"/>
        <v>44742</v>
      </c>
      <c r="D1263" s="99" t="s">
        <v>780</v>
      </c>
      <c r="E1263" s="99">
        <v>5</v>
      </c>
      <c r="F1263" s="99" t="s">
        <v>779</v>
      </c>
      <c r="H1263" s="484">
        <f>'Справка 8 общо'!G24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50">
        <f t="shared" si="77"/>
        <v>44742</v>
      </c>
      <c r="D1264" s="99" t="s">
        <v>782</v>
      </c>
      <c r="E1264" s="99">
        <v>5</v>
      </c>
      <c r="F1264" s="99" t="s">
        <v>781</v>
      </c>
      <c r="H1264" s="484">
        <f>'Справка 8 общо'!G25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50">
        <f t="shared" si="77"/>
        <v>44742</v>
      </c>
      <c r="D1265" s="99" t="s">
        <v>784</v>
      </c>
      <c r="E1265" s="99">
        <v>5</v>
      </c>
      <c r="F1265" s="99" t="s">
        <v>783</v>
      </c>
      <c r="H1265" s="484">
        <f>'Справка 8 общо'!G26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50">
        <f t="shared" si="77"/>
        <v>44742</v>
      </c>
      <c r="D1266" s="99" t="s">
        <v>786</v>
      </c>
      <c r="E1266" s="99">
        <v>5</v>
      </c>
      <c r="F1266" s="99" t="s">
        <v>771</v>
      </c>
      <c r="H1266" s="484">
        <f>'Справка 8 общо'!G27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50">
        <f t="shared" si="77"/>
        <v>44742</v>
      </c>
      <c r="D1267" s="99" t="s">
        <v>763</v>
      </c>
      <c r="E1267" s="99">
        <v>6</v>
      </c>
      <c r="F1267" s="99" t="s">
        <v>762</v>
      </c>
      <c r="H1267" s="484">
        <f>'Справка 8 общо'!H13</f>
        <v>419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50">
        <f t="shared" si="77"/>
        <v>44742</v>
      </c>
      <c r="D1268" s="99" t="s">
        <v>765</v>
      </c>
      <c r="E1268" s="99">
        <v>6</v>
      </c>
      <c r="F1268" s="99" t="s">
        <v>764</v>
      </c>
      <c r="H1268" s="484">
        <f>'Справка 8 общо'!H14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50">
        <f t="shared" si="77"/>
        <v>44742</v>
      </c>
      <c r="D1269" s="99" t="s">
        <v>766</v>
      </c>
      <c r="E1269" s="99">
        <v>6</v>
      </c>
      <c r="F1269" s="99" t="s">
        <v>572</v>
      </c>
      <c r="H1269" s="484">
        <f>'Справка 8 общо'!H15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50">
        <f t="shared" si="77"/>
        <v>44742</v>
      </c>
      <c r="D1270" s="99" t="s">
        <v>768</v>
      </c>
      <c r="E1270" s="99">
        <v>6</v>
      </c>
      <c r="F1270" s="99" t="s">
        <v>767</v>
      </c>
      <c r="H1270" s="484">
        <f>'Справка 8 общо'!H16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50">
        <f t="shared" si="77"/>
        <v>44742</v>
      </c>
      <c r="D1271" s="99" t="s">
        <v>769</v>
      </c>
      <c r="E1271" s="99">
        <v>6</v>
      </c>
      <c r="F1271" s="99" t="s">
        <v>79</v>
      </c>
      <c r="H1271" s="484">
        <f>'Справка 8 общо'!H17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50">
        <f t="shared" si="77"/>
        <v>44742</v>
      </c>
      <c r="D1272" s="99" t="s">
        <v>770</v>
      </c>
      <c r="E1272" s="99">
        <v>6</v>
      </c>
      <c r="F1272" s="99" t="s">
        <v>761</v>
      </c>
      <c r="H1272" s="484">
        <f>'Справка 8 общо'!H18</f>
        <v>419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50">
        <f t="shared" si="77"/>
        <v>44742</v>
      </c>
      <c r="D1273" s="99" t="s">
        <v>772</v>
      </c>
      <c r="E1273" s="99">
        <v>6</v>
      </c>
      <c r="F1273" s="99" t="s">
        <v>762</v>
      </c>
      <c r="H1273" s="484">
        <f>'Справка 8 общо'!H20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50">
        <f t="shared" si="77"/>
        <v>44742</v>
      </c>
      <c r="D1274" s="99" t="s">
        <v>774</v>
      </c>
      <c r="E1274" s="99">
        <v>6</v>
      </c>
      <c r="F1274" s="99" t="s">
        <v>773</v>
      </c>
      <c r="H1274" s="484">
        <f>'Справка 8 общо'!H21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50">
        <f t="shared" si="77"/>
        <v>44742</v>
      </c>
      <c r="D1275" s="99" t="s">
        <v>776</v>
      </c>
      <c r="E1275" s="99">
        <v>6</v>
      </c>
      <c r="F1275" s="99" t="s">
        <v>775</v>
      </c>
      <c r="H1275" s="484">
        <f>'Справка 8 общо'!H22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50">
        <f t="shared" si="77"/>
        <v>44742</v>
      </c>
      <c r="D1276" s="99" t="s">
        <v>778</v>
      </c>
      <c r="E1276" s="99">
        <v>6</v>
      </c>
      <c r="F1276" s="99" t="s">
        <v>777</v>
      </c>
      <c r="H1276" s="484">
        <f>'Справка 8 общо'!H23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50">
        <f t="shared" si="77"/>
        <v>44742</v>
      </c>
      <c r="D1277" s="99" t="s">
        <v>780</v>
      </c>
      <c r="E1277" s="99">
        <v>6</v>
      </c>
      <c r="F1277" s="99" t="s">
        <v>779</v>
      </c>
      <c r="H1277" s="484">
        <f>'Справка 8 общо'!H24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50">
        <f t="shared" si="77"/>
        <v>44742</v>
      </c>
      <c r="D1278" s="99" t="s">
        <v>782</v>
      </c>
      <c r="E1278" s="99">
        <v>6</v>
      </c>
      <c r="F1278" s="99" t="s">
        <v>781</v>
      </c>
      <c r="H1278" s="484">
        <f>'Справка 8 общо'!H25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50">
        <f t="shared" si="77"/>
        <v>44742</v>
      </c>
      <c r="D1279" s="99" t="s">
        <v>784</v>
      </c>
      <c r="E1279" s="99">
        <v>6</v>
      </c>
      <c r="F1279" s="99" t="s">
        <v>783</v>
      </c>
      <c r="H1279" s="484">
        <f>'Справка 8 общо'!H26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50">
        <f t="shared" si="77"/>
        <v>44742</v>
      </c>
      <c r="D1280" s="99" t="s">
        <v>786</v>
      </c>
      <c r="E1280" s="99">
        <v>6</v>
      </c>
      <c r="F1280" s="99" t="s">
        <v>771</v>
      </c>
      <c r="H1280" s="484">
        <f>'Справка 8 общо'!H27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50">
        <f t="shared" si="77"/>
        <v>44742</v>
      </c>
      <c r="D1281" s="99" t="s">
        <v>763</v>
      </c>
      <c r="E1281" s="99">
        <v>7</v>
      </c>
      <c r="F1281" s="99" t="s">
        <v>762</v>
      </c>
      <c r="H1281" s="484">
        <f>'Справка 8 общо'!I13</f>
        <v>142196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50">
        <f t="shared" si="77"/>
        <v>44742</v>
      </c>
      <c r="D1282" s="99" t="s">
        <v>765</v>
      </c>
      <c r="E1282" s="99">
        <v>7</v>
      </c>
      <c r="F1282" s="99" t="s">
        <v>764</v>
      </c>
      <c r="H1282" s="484">
        <f>'Справка 8 общо'!I14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50">
        <f t="shared" si="77"/>
        <v>44742</v>
      </c>
      <c r="D1283" s="99" t="s">
        <v>766</v>
      </c>
      <c r="E1283" s="99">
        <v>7</v>
      </c>
      <c r="F1283" s="99" t="s">
        <v>572</v>
      </c>
      <c r="H1283" s="484">
        <f>'Справка 8 общо'!I15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50">
        <f t="shared" si="77"/>
        <v>44742</v>
      </c>
      <c r="D1284" s="99" t="s">
        <v>768</v>
      </c>
      <c r="E1284" s="99">
        <v>7</v>
      </c>
      <c r="F1284" s="99" t="s">
        <v>767</v>
      </c>
      <c r="H1284" s="484">
        <f>'Справка 8 общо'!I16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50">
        <f t="shared" si="77"/>
        <v>44742</v>
      </c>
      <c r="D1285" s="99" t="s">
        <v>769</v>
      </c>
      <c r="E1285" s="99">
        <v>7</v>
      </c>
      <c r="F1285" s="99" t="s">
        <v>79</v>
      </c>
      <c r="H1285" s="484">
        <f>'Справка 8 общо'!I17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50">
        <f t="shared" si="77"/>
        <v>44742</v>
      </c>
      <c r="D1286" s="99" t="s">
        <v>770</v>
      </c>
      <c r="E1286" s="99">
        <v>7</v>
      </c>
      <c r="F1286" s="99" t="s">
        <v>761</v>
      </c>
      <c r="H1286" s="484">
        <f>'Справка 8 общо'!I18</f>
        <v>142196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50">
        <f t="shared" si="77"/>
        <v>44742</v>
      </c>
      <c r="D1287" s="99" t="s">
        <v>772</v>
      </c>
      <c r="E1287" s="99">
        <v>7</v>
      </c>
      <c r="F1287" s="99" t="s">
        <v>762</v>
      </c>
      <c r="H1287" s="484">
        <f>'Справка 8 общо'!I20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50">
        <f t="shared" si="77"/>
        <v>44742</v>
      </c>
      <c r="D1288" s="99" t="s">
        <v>774</v>
      </c>
      <c r="E1288" s="99">
        <v>7</v>
      </c>
      <c r="F1288" s="99" t="s">
        <v>773</v>
      </c>
      <c r="H1288" s="484">
        <f>'Справка 8 общо'!I21</f>
        <v>52202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50">
        <f t="shared" si="77"/>
        <v>44742</v>
      </c>
      <c r="D1289" s="99" t="s">
        <v>776</v>
      </c>
      <c r="E1289" s="99">
        <v>7</v>
      </c>
      <c r="F1289" s="99" t="s">
        <v>775</v>
      </c>
      <c r="H1289" s="484">
        <f>'Справка 8 общо'!I22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50">
        <f t="shared" si="77"/>
        <v>44742</v>
      </c>
      <c r="D1290" s="99" t="s">
        <v>778</v>
      </c>
      <c r="E1290" s="99">
        <v>7</v>
      </c>
      <c r="F1290" s="99" t="s">
        <v>777</v>
      </c>
      <c r="H1290" s="484">
        <f>'Справка 8 общо'!I23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50">
        <f t="shared" si="77"/>
        <v>44742</v>
      </c>
      <c r="D1291" s="99" t="s">
        <v>780</v>
      </c>
      <c r="E1291" s="99">
        <v>7</v>
      </c>
      <c r="F1291" s="99" t="s">
        <v>779</v>
      </c>
      <c r="H1291" s="484">
        <f>'Справка 8 общо'!I24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50">
        <f t="shared" si="77"/>
        <v>44742</v>
      </c>
      <c r="D1292" s="99" t="s">
        <v>782</v>
      </c>
      <c r="E1292" s="99">
        <v>7</v>
      </c>
      <c r="F1292" s="99" t="s">
        <v>781</v>
      </c>
      <c r="H1292" s="484">
        <f>'Справка 8 общо'!I25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50">
        <f t="shared" si="77"/>
        <v>44742</v>
      </c>
      <c r="D1293" s="99" t="s">
        <v>784</v>
      </c>
      <c r="E1293" s="99">
        <v>7</v>
      </c>
      <c r="F1293" s="99" t="s">
        <v>783</v>
      </c>
      <c r="H1293" s="484">
        <f>'Справка 8 общо'!I26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50">
        <f t="shared" si="77"/>
        <v>44742</v>
      </c>
      <c r="D1294" s="99" t="s">
        <v>786</v>
      </c>
      <c r="E1294" s="99">
        <v>7</v>
      </c>
      <c r="F1294" s="99" t="s">
        <v>771</v>
      </c>
      <c r="H1294" s="484">
        <f>'Справка 8 общо'!I27</f>
        <v>52202</v>
      </c>
    </row>
  </sheetData>
  <sheetProtection password="D554" sheet="1" objects="1" scenarios="1" insertRows="0"/>
  <customSheetViews>
    <customSheetView guid="{3239EBCD-0009-49F8-9CD4-7149DE51B97F}" scale="70" state="hidden">
      <pageMargins left="0.7" right="0.7" top="0.75" bottom="0.75" header="0.3" footer="0.3"/>
      <pageSetup paperSize="9" orientation="portrait" r:id="rId1"/>
    </customSheetView>
    <customSheetView guid="{23BEE295-D922-43C3-8F5E-52A6C7961032}" state="hidden">
      <pageMargins left="0.7" right="0.7" top="0.75" bottom="0.75" header="0.3" footer="0.3"/>
      <pageSetup paperSize="9" orientation="portrait" r:id="rId2"/>
    </customSheetView>
    <customSheetView guid="{D5A9973C-5346-486A-9057-6F44650CE612}" state="hidden">
      <pageMargins left="0.7" right="0.7" top="0.75" bottom="0.75" header="0.3" footer="0.3"/>
      <pageSetup paperSize="9" orientation="portrait" r:id="rId3"/>
    </customSheetView>
  </customSheetViews>
  <phoneticPr fontId="20" type="noConversion"/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934</v>
      </c>
    </row>
    <row r="2" spans="1:1">
      <c r="A2" t="s">
        <v>935</v>
      </c>
    </row>
    <row r="5" spans="1:1">
      <c r="A5" t="s">
        <v>897</v>
      </c>
    </row>
    <row r="6" spans="1:1">
      <c r="A6" t="s">
        <v>947</v>
      </c>
    </row>
    <row r="7" spans="1:1">
      <c r="A7" t="s">
        <v>948</v>
      </c>
    </row>
    <row r="8" spans="1:1">
      <c r="A8" t="s">
        <v>903</v>
      </c>
    </row>
    <row r="9" spans="1:1">
      <c r="A9" t="s">
        <v>898</v>
      </c>
    </row>
    <row r="11" spans="1:1">
      <c r="A11" t="s">
        <v>899</v>
      </c>
    </row>
    <row r="12" spans="1:1">
      <c r="A12" t="s">
        <v>900</v>
      </c>
    </row>
    <row r="13" spans="1:1">
      <c r="A13" t="s">
        <v>901</v>
      </c>
    </row>
  </sheetData>
  <sheetProtection password="D554" sheet="1" objects="1" scenarios="1" insertRows="0"/>
  <customSheetViews>
    <customSheetView guid="{3239EBCD-0009-49F8-9CD4-7149DE51B97F}" state="hidden">
      <pageMargins left="0.7" right="0.7" top="0.75" bottom="0.75" header="0.3" footer="0.3"/>
    </customSheetView>
    <customSheetView guid="{23BEE295-D922-43C3-8F5E-52A6C7961032}" state="hidden">
      <pageMargins left="0.7" right="0.7" top="0.75" bottom="0.75" header="0.3" footer="0.3"/>
    </customSheetView>
    <customSheetView guid="{D5A9973C-5346-486A-9057-6F44650CE61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workbookViewId="0">
      <selection activeCell="E4" sqref="E4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30.06.2022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2"/>
      <c r="D10" s="563"/>
      <c r="E10" s="213" t="s">
        <v>20</v>
      </c>
      <c r="F10" s="216"/>
      <c r="G10" s="574"/>
      <c r="H10" s="575"/>
    </row>
    <row r="11" spans="1:8">
      <c r="A11" s="94" t="s">
        <v>21</v>
      </c>
      <c r="B11" s="85"/>
      <c r="C11" s="564"/>
      <c r="D11" s="565"/>
      <c r="E11" s="94" t="s">
        <v>22</v>
      </c>
      <c r="F11" s="190"/>
      <c r="G11" s="576"/>
      <c r="H11" s="577"/>
    </row>
    <row r="12" spans="1:8">
      <c r="A12" s="84" t="s">
        <v>23</v>
      </c>
      <c r="B12" s="86" t="s">
        <v>24</v>
      </c>
      <c r="C12" s="188">
        <v>60912</v>
      </c>
      <c r="D12" s="187">
        <v>60904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162722</v>
      </c>
      <c r="D13" s="187">
        <v>166135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92105</v>
      </c>
      <c r="D14" s="187">
        <v>97182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11480</v>
      </c>
      <c r="D15" s="187">
        <v>12241</v>
      </c>
      <c r="E15" s="191" t="s">
        <v>36</v>
      </c>
      <c r="F15" s="87" t="s">
        <v>37</v>
      </c>
      <c r="G15" s="188">
        <v>-52202</v>
      </c>
      <c r="H15" s="187">
        <v>-50284</v>
      </c>
    </row>
    <row r="16" spans="1:8">
      <c r="A16" s="84" t="s">
        <v>38</v>
      </c>
      <c r="B16" s="86" t="s">
        <v>39</v>
      </c>
      <c r="C16" s="188">
        <v>10286</v>
      </c>
      <c r="D16" s="187">
        <v>10218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9681</v>
      </c>
      <c r="D17" s="187">
        <v>10181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10635</v>
      </c>
      <c r="D18" s="187">
        <v>4798</v>
      </c>
      <c r="E18" s="468" t="s">
        <v>47</v>
      </c>
      <c r="F18" s="467" t="s">
        <v>48</v>
      </c>
      <c r="G18" s="578">
        <f>G12+G15+G16+G17</f>
        <v>82596</v>
      </c>
      <c r="H18" s="579">
        <f>H12+H15+H16+H17</f>
        <v>84514</v>
      </c>
    </row>
    <row r="19" spans="1:13">
      <c r="A19" s="84" t="s">
        <v>49</v>
      </c>
      <c r="B19" s="86" t="s">
        <v>50</v>
      </c>
      <c r="C19" s="188"/>
      <c r="D19" s="187">
        <v>273</v>
      </c>
      <c r="E19" s="94" t="s">
        <v>51</v>
      </c>
      <c r="F19" s="89"/>
      <c r="G19" s="580"/>
      <c r="H19" s="581"/>
    </row>
    <row r="20" spans="1:13">
      <c r="A20" s="469" t="s">
        <v>52</v>
      </c>
      <c r="B20" s="90" t="s">
        <v>53</v>
      </c>
      <c r="C20" s="566">
        <f>SUM(C12:C19)</f>
        <v>357821</v>
      </c>
      <c r="D20" s="567">
        <f>SUM(D12:D19)</f>
        <v>361932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63">
        <v>9446</v>
      </c>
      <c r="D21" s="464">
        <v>9446</v>
      </c>
      <c r="E21" s="84" t="s">
        <v>58</v>
      </c>
      <c r="F21" s="87" t="s">
        <v>59</v>
      </c>
      <c r="G21" s="188">
        <v>38597</v>
      </c>
      <c r="H21" s="187">
        <v>39114</v>
      </c>
    </row>
    <row r="22" spans="1:13">
      <c r="A22" s="94" t="s">
        <v>60</v>
      </c>
      <c r="B22" s="91" t="s">
        <v>61</v>
      </c>
      <c r="C22" s="463">
        <v>440</v>
      </c>
      <c r="D22" s="464">
        <v>461</v>
      </c>
      <c r="E22" s="192" t="s">
        <v>62</v>
      </c>
      <c r="F22" s="87" t="s">
        <v>63</v>
      </c>
      <c r="G22" s="582">
        <f>SUM(G23:G25)</f>
        <v>81140</v>
      </c>
      <c r="H22" s="583">
        <f>SUM(H23:H25)</f>
        <v>78713</v>
      </c>
      <c r="M22" s="92"/>
    </row>
    <row r="23" spans="1:13">
      <c r="A23" s="94" t="s">
        <v>64</v>
      </c>
      <c r="B23" s="86"/>
      <c r="C23" s="564"/>
      <c r="D23" s="565"/>
      <c r="E23" s="191" t="s">
        <v>65</v>
      </c>
      <c r="F23" s="87" t="s">
        <v>66</v>
      </c>
      <c r="G23" s="188">
        <v>68628</v>
      </c>
      <c r="H23" s="187">
        <v>66201</v>
      </c>
    </row>
    <row r="24" spans="1:13">
      <c r="A24" s="84" t="s">
        <v>67</v>
      </c>
      <c r="B24" s="86" t="s">
        <v>68</v>
      </c>
      <c r="C24" s="188">
        <v>30748</v>
      </c>
      <c r="D24" s="187">
        <v>34016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18143</v>
      </c>
      <c r="D25" s="187">
        <v>17558</v>
      </c>
      <c r="E25" s="84" t="s">
        <v>73</v>
      </c>
      <c r="F25" s="87" t="s">
        <v>74</v>
      </c>
      <c r="G25" s="188">
        <v>12512</v>
      </c>
      <c r="H25" s="187">
        <v>12512</v>
      </c>
    </row>
    <row r="26" spans="1:13">
      <c r="A26" s="84" t="s">
        <v>75</v>
      </c>
      <c r="B26" s="86" t="s">
        <v>76</v>
      </c>
      <c r="C26" s="188"/>
      <c r="D26" s="187"/>
      <c r="E26" s="471" t="s">
        <v>77</v>
      </c>
      <c r="F26" s="89" t="s">
        <v>78</v>
      </c>
      <c r="G26" s="566">
        <f>G20+G21+G22</f>
        <v>119737</v>
      </c>
      <c r="H26" s="567">
        <f>H20+H21+H22</f>
        <v>117827</v>
      </c>
      <c r="M26" s="92"/>
    </row>
    <row r="27" spans="1:13">
      <c r="A27" s="84" t="s">
        <v>79</v>
      </c>
      <c r="B27" s="86" t="s">
        <v>80</v>
      </c>
      <c r="C27" s="188">
        <v>2055</v>
      </c>
      <c r="D27" s="187">
        <v>2847</v>
      </c>
      <c r="E27" s="94" t="s">
        <v>81</v>
      </c>
      <c r="F27" s="89"/>
      <c r="G27" s="580"/>
      <c r="H27" s="581"/>
    </row>
    <row r="28" spans="1:13">
      <c r="A28" s="469" t="s">
        <v>82</v>
      </c>
      <c r="B28" s="91" t="s">
        <v>83</v>
      </c>
      <c r="C28" s="566">
        <f>SUM(C24:C27)</f>
        <v>50946</v>
      </c>
      <c r="D28" s="567">
        <f>SUM(D24:D27)</f>
        <v>54421</v>
      </c>
      <c r="E28" s="193" t="s">
        <v>84</v>
      </c>
      <c r="F28" s="87" t="s">
        <v>85</v>
      </c>
      <c r="G28" s="564">
        <f>SUM(G29:G31)</f>
        <v>441249</v>
      </c>
      <c r="H28" s="565">
        <f>SUM(H29:H31)</f>
        <v>355138</v>
      </c>
      <c r="M28" s="92"/>
    </row>
    <row r="29" spans="1:13">
      <c r="A29" s="84"/>
      <c r="B29" s="86"/>
      <c r="C29" s="564"/>
      <c r="D29" s="565"/>
      <c r="E29" s="84" t="s">
        <v>86</v>
      </c>
      <c r="F29" s="87" t="s">
        <v>87</v>
      </c>
      <c r="G29" s="188">
        <v>441249</v>
      </c>
      <c r="H29" s="187">
        <v>355138</v>
      </c>
    </row>
    <row r="30" spans="1:13">
      <c r="A30" s="94" t="s">
        <v>88</v>
      </c>
      <c r="B30" s="86"/>
      <c r="C30" s="564"/>
      <c r="D30" s="565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13439</v>
      </c>
      <c r="D31" s="187">
        <v>13420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43365</v>
      </c>
      <c r="H32" s="187">
        <v>89496</v>
      </c>
      <c r="M32" s="92"/>
    </row>
    <row r="33" spans="1:13">
      <c r="A33" s="469" t="s">
        <v>99</v>
      </c>
      <c r="B33" s="91" t="s">
        <v>100</v>
      </c>
      <c r="C33" s="566">
        <f>C31+C32</f>
        <v>13439</v>
      </c>
      <c r="D33" s="567">
        <f>D31+D32</f>
        <v>13420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64"/>
      <c r="D34" s="565"/>
      <c r="E34" s="471" t="s">
        <v>104</v>
      </c>
      <c r="F34" s="89" t="s">
        <v>105</v>
      </c>
      <c r="G34" s="566">
        <f>G28+G32+G33</f>
        <v>484614</v>
      </c>
      <c r="H34" s="567">
        <f>H28+H32+H33</f>
        <v>444634</v>
      </c>
    </row>
    <row r="35" spans="1:13">
      <c r="A35" s="84" t="s">
        <v>106</v>
      </c>
      <c r="B35" s="88" t="s">
        <v>107</v>
      </c>
      <c r="C35" s="564">
        <f>SUM(C36:C39)</f>
        <v>142196</v>
      </c>
      <c r="D35" s="565">
        <f>SUM(D36:D39)</f>
        <v>133098</v>
      </c>
      <c r="E35" s="84"/>
      <c r="F35" s="93"/>
      <c r="G35" s="584"/>
      <c r="H35" s="585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4"/>
      <c r="H36" s="585"/>
    </row>
    <row r="37" spans="1:13">
      <c r="A37" s="84" t="s">
        <v>110</v>
      </c>
      <c r="B37" s="86" t="s">
        <v>111</v>
      </c>
      <c r="C37" s="188">
        <v>2031</v>
      </c>
      <c r="D37" s="187">
        <v>1983</v>
      </c>
      <c r="E37" s="470" t="s">
        <v>822</v>
      </c>
      <c r="F37" s="93" t="s">
        <v>112</v>
      </c>
      <c r="G37" s="568">
        <f>G26+G18+G34</f>
        <v>686947</v>
      </c>
      <c r="H37" s="569">
        <f>H26+H18+H34</f>
        <v>646975</v>
      </c>
    </row>
    <row r="38" spans="1:13">
      <c r="A38" s="84" t="s">
        <v>113</v>
      </c>
      <c r="B38" s="86" t="s">
        <v>114</v>
      </c>
      <c r="C38" s="188">
        <v>134958</v>
      </c>
      <c r="D38" s="187">
        <v>125337</v>
      </c>
      <c r="E38" s="84"/>
      <c r="F38" s="93"/>
      <c r="G38" s="584"/>
      <c r="H38" s="585"/>
      <c r="M38" s="92"/>
    </row>
    <row r="39" spans="1:13" ht="16.5" thickBot="1">
      <c r="A39" s="84" t="s">
        <v>115</v>
      </c>
      <c r="B39" s="86" t="s">
        <v>116</v>
      </c>
      <c r="C39" s="188">
        <v>5207</v>
      </c>
      <c r="D39" s="187">
        <v>5778</v>
      </c>
      <c r="E39" s="204"/>
      <c r="F39" s="205"/>
      <c r="G39" s="586"/>
      <c r="H39" s="587"/>
    </row>
    <row r="40" spans="1:13">
      <c r="A40" s="84" t="s">
        <v>117</v>
      </c>
      <c r="B40" s="86" t="s">
        <v>118</v>
      </c>
      <c r="C40" s="564">
        <f>C41+C42+C44</f>
        <v>0</v>
      </c>
      <c r="D40" s="565">
        <f>D41+D42+D44</f>
        <v>0</v>
      </c>
      <c r="E40" s="206" t="s">
        <v>119</v>
      </c>
      <c r="F40" s="203" t="s">
        <v>120</v>
      </c>
      <c r="G40" s="551">
        <v>12892</v>
      </c>
      <c r="H40" s="552">
        <v>11893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6"/>
      <c r="H41" s="587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8"/>
      <c r="H42" s="589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4"/>
      <c r="H43" s="585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10962</v>
      </c>
      <c r="H44" s="187">
        <v>10210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41998</v>
      </c>
      <c r="H45" s="187">
        <v>42907</v>
      </c>
    </row>
    <row r="46" spans="1:13">
      <c r="A46" s="460" t="s">
        <v>137</v>
      </c>
      <c r="B46" s="90" t="s">
        <v>138</v>
      </c>
      <c r="C46" s="566">
        <f>C35+C40+C45</f>
        <v>142196</v>
      </c>
      <c r="D46" s="567">
        <f>D35+D40+D45</f>
        <v>133098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68"/>
      <c r="D47" s="569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50444</v>
      </c>
      <c r="D48" s="187">
        <v>49696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6397</v>
      </c>
      <c r="D49" s="187">
        <v>6308</v>
      </c>
      <c r="E49" s="84" t="s">
        <v>150</v>
      </c>
      <c r="F49" s="87" t="s">
        <v>151</v>
      </c>
      <c r="G49" s="188">
        <v>46046</v>
      </c>
      <c r="H49" s="187">
        <v>46211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4">
        <f>SUM(G44:G49)</f>
        <v>99006</v>
      </c>
      <c r="H50" s="565">
        <f>SUM(H44:H49)</f>
        <v>99328</v>
      </c>
    </row>
    <row r="51" spans="1:13">
      <c r="A51" s="84" t="s">
        <v>79</v>
      </c>
      <c r="B51" s="86" t="s">
        <v>155</v>
      </c>
      <c r="C51" s="188">
        <v>4185</v>
      </c>
      <c r="D51" s="187">
        <v>3914</v>
      </c>
      <c r="E51" s="84"/>
      <c r="F51" s="87"/>
      <c r="G51" s="564"/>
      <c r="H51" s="565"/>
    </row>
    <row r="52" spans="1:13">
      <c r="A52" s="469" t="s">
        <v>156</v>
      </c>
      <c r="B52" s="90" t="s">
        <v>157</v>
      </c>
      <c r="C52" s="566">
        <f>SUM(C48:C51)</f>
        <v>61026</v>
      </c>
      <c r="D52" s="567">
        <f>SUM(D48:D51)</f>
        <v>59918</v>
      </c>
      <c r="E52" s="192" t="s">
        <v>158</v>
      </c>
      <c r="F52" s="89" t="s">
        <v>159</v>
      </c>
      <c r="G52" s="188">
        <v>7626</v>
      </c>
      <c r="H52" s="187">
        <v>7635</v>
      </c>
    </row>
    <row r="53" spans="1:13">
      <c r="A53" s="84" t="s">
        <v>9</v>
      </c>
      <c r="B53" s="90"/>
      <c r="C53" s="564"/>
      <c r="D53" s="565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>
        <v>7754</v>
      </c>
      <c r="H54" s="187">
        <v>8472</v>
      </c>
    </row>
    <row r="55" spans="1:13">
      <c r="A55" s="94" t="s">
        <v>166</v>
      </c>
      <c r="B55" s="90" t="s">
        <v>167</v>
      </c>
      <c r="C55" s="465">
        <v>1291</v>
      </c>
      <c r="D55" s="466">
        <v>1050</v>
      </c>
      <c r="E55" s="84" t="s">
        <v>168</v>
      </c>
      <c r="F55" s="89" t="s">
        <v>169</v>
      </c>
      <c r="G55" s="188">
        <v>6615</v>
      </c>
      <c r="H55" s="187">
        <v>6783</v>
      </c>
    </row>
    <row r="56" spans="1:13" ht="16.5" thickBot="1">
      <c r="A56" s="462" t="s">
        <v>170</v>
      </c>
      <c r="B56" s="199" t="s">
        <v>171</v>
      </c>
      <c r="C56" s="570">
        <f>C20+C21+C22+C28+C33+C46+C52+C54+C55</f>
        <v>636605</v>
      </c>
      <c r="D56" s="571">
        <f>D20+D21+D22+D28+D33+D46+D52+D54+D55</f>
        <v>633746</v>
      </c>
      <c r="E56" s="94" t="s">
        <v>825</v>
      </c>
      <c r="F56" s="93" t="s">
        <v>172</v>
      </c>
      <c r="G56" s="568">
        <f>G50+G52+G53+G54+G55</f>
        <v>121001</v>
      </c>
      <c r="H56" s="569">
        <f>H50+H52+H53+H54+H55</f>
        <v>122218</v>
      </c>
      <c r="M56" s="92"/>
    </row>
    <row r="57" spans="1:13">
      <c r="A57" s="200" t="s">
        <v>173</v>
      </c>
      <c r="B57" s="201"/>
      <c r="C57" s="562"/>
      <c r="D57" s="563"/>
      <c r="E57" s="200" t="s">
        <v>175</v>
      </c>
      <c r="F57" s="203"/>
      <c r="G57" s="562"/>
      <c r="H57" s="563"/>
    </row>
    <row r="58" spans="1:13">
      <c r="A58" s="94" t="s">
        <v>174</v>
      </c>
      <c r="B58" s="83"/>
      <c r="C58" s="568"/>
      <c r="D58" s="569"/>
      <c r="E58" s="94" t="s">
        <v>128</v>
      </c>
      <c r="F58" s="87"/>
      <c r="G58" s="564"/>
      <c r="H58" s="565"/>
      <c r="M58" s="92"/>
    </row>
    <row r="59" spans="1:13" ht="31.5">
      <c r="A59" s="84" t="s">
        <v>176</v>
      </c>
      <c r="B59" s="86" t="s">
        <v>177</v>
      </c>
      <c r="C59" s="188">
        <v>35482</v>
      </c>
      <c r="D59" s="187">
        <v>35710</v>
      </c>
      <c r="E59" s="192" t="s">
        <v>180</v>
      </c>
      <c r="F59" s="473" t="s">
        <v>181</v>
      </c>
      <c r="G59" s="188">
        <v>175968</v>
      </c>
      <c r="H59" s="187">
        <v>217392</v>
      </c>
    </row>
    <row r="60" spans="1:13">
      <c r="A60" s="84" t="s">
        <v>178</v>
      </c>
      <c r="B60" s="86" t="s">
        <v>179</v>
      </c>
      <c r="C60" s="188">
        <v>32240</v>
      </c>
      <c r="D60" s="187">
        <v>23632</v>
      </c>
      <c r="E60" s="84" t="s">
        <v>184</v>
      </c>
      <c r="F60" s="87" t="s">
        <v>185</v>
      </c>
      <c r="G60" s="188">
        <v>9402</v>
      </c>
      <c r="H60" s="187">
        <v>9467</v>
      </c>
      <c r="M60" s="92"/>
    </row>
    <row r="61" spans="1:13">
      <c r="A61" s="84" t="s">
        <v>182</v>
      </c>
      <c r="B61" s="86" t="s">
        <v>183</v>
      </c>
      <c r="C61" s="188">
        <v>197659</v>
      </c>
      <c r="D61" s="187">
        <v>188186</v>
      </c>
      <c r="E61" s="191" t="s">
        <v>188</v>
      </c>
      <c r="F61" s="87" t="s">
        <v>189</v>
      </c>
      <c r="G61" s="564">
        <f>SUM(G62:G68)</f>
        <v>184937</v>
      </c>
      <c r="H61" s="565">
        <f>SUM(H62:H68)</f>
        <v>172107</v>
      </c>
    </row>
    <row r="62" spans="1:13">
      <c r="A62" s="84" t="s">
        <v>186</v>
      </c>
      <c r="B62" s="88" t="s">
        <v>187</v>
      </c>
      <c r="C62" s="188">
        <v>4148</v>
      </c>
      <c r="D62" s="187">
        <v>8421</v>
      </c>
      <c r="E62" s="191" t="s">
        <v>192</v>
      </c>
      <c r="F62" s="87" t="s">
        <v>193</v>
      </c>
      <c r="G62" s="188">
        <v>3816</v>
      </c>
      <c r="H62" s="187">
        <v>3700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155474</v>
      </c>
      <c r="H64" s="187">
        <v>142681</v>
      </c>
      <c r="M64" s="92"/>
    </row>
    <row r="65" spans="1:13">
      <c r="A65" s="469" t="s">
        <v>52</v>
      </c>
      <c r="B65" s="90" t="s">
        <v>198</v>
      </c>
      <c r="C65" s="566">
        <f>SUM(C59:C64)</f>
        <v>269529</v>
      </c>
      <c r="D65" s="567">
        <f>SUM(D59:D64)</f>
        <v>255949</v>
      </c>
      <c r="E65" s="84" t="s">
        <v>201</v>
      </c>
      <c r="F65" s="87" t="s">
        <v>202</v>
      </c>
      <c r="G65" s="188">
        <v>542</v>
      </c>
      <c r="H65" s="187">
        <v>799</v>
      </c>
    </row>
    <row r="66" spans="1:13">
      <c r="A66" s="84"/>
      <c r="B66" s="90"/>
      <c r="C66" s="564"/>
      <c r="D66" s="565"/>
      <c r="E66" s="84" t="s">
        <v>204</v>
      </c>
      <c r="F66" s="87" t="s">
        <v>205</v>
      </c>
      <c r="G66" s="188">
        <v>15966</v>
      </c>
      <c r="H66" s="187">
        <v>14682</v>
      </c>
    </row>
    <row r="67" spans="1:13">
      <c r="A67" s="94" t="s">
        <v>203</v>
      </c>
      <c r="B67" s="83"/>
      <c r="C67" s="568"/>
      <c r="D67" s="569"/>
      <c r="E67" s="84" t="s">
        <v>208</v>
      </c>
      <c r="F67" s="87" t="s">
        <v>209</v>
      </c>
      <c r="G67" s="188">
        <v>3611</v>
      </c>
      <c r="H67" s="187">
        <v>3206</v>
      </c>
    </row>
    <row r="68" spans="1:13">
      <c r="A68" s="84" t="s">
        <v>206</v>
      </c>
      <c r="B68" s="86" t="s">
        <v>207</v>
      </c>
      <c r="C68" s="188">
        <v>15998</v>
      </c>
      <c r="D68" s="187">
        <v>14479</v>
      </c>
      <c r="E68" s="84" t="s">
        <v>212</v>
      </c>
      <c r="F68" s="87" t="s">
        <v>213</v>
      </c>
      <c r="G68" s="188">
        <v>5528</v>
      </c>
      <c r="H68" s="187">
        <v>7039</v>
      </c>
    </row>
    <row r="69" spans="1:13">
      <c r="A69" s="84" t="s">
        <v>210</v>
      </c>
      <c r="B69" s="86" t="s">
        <v>211</v>
      </c>
      <c r="C69" s="188">
        <v>227490</v>
      </c>
      <c r="D69" s="187">
        <v>204878</v>
      </c>
      <c r="E69" s="192" t="s">
        <v>79</v>
      </c>
      <c r="F69" s="87" t="s">
        <v>216</v>
      </c>
      <c r="G69" s="188">
        <v>24081</v>
      </c>
      <c r="H69" s="187">
        <v>24113</v>
      </c>
    </row>
    <row r="70" spans="1:13">
      <c r="A70" s="84" t="s">
        <v>214</v>
      </c>
      <c r="B70" s="86" t="s">
        <v>215</v>
      </c>
      <c r="C70" s="188">
        <v>16619</v>
      </c>
      <c r="D70" s="187">
        <v>22954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1816</v>
      </c>
      <c r="D71" s="187">
        <v>1804</v>
      </c>
      <c r="E71" s="461" t="s">
        <v>47</v>
      </c>
      <c r="F71" s="89" t="s">
        <v>223</v>
      </c>
      <c r="G71" s="566">
        <f>G59+G60+G61+G69+G70</f>
        <v>394388</v>
      </c>
      <c r="H71" s="567">
        <f>H59+H60+H61+H69+H70</f>
        <v>423079</v>
      </c>
    </row>
    <row r="72" spans="1:13">
      <c r="A72" s="84" t="s">
        <v>221</v>
      </c>
      <c r="B72" s="86" t="s">
        <v>222</v>
      </c>
      <c r="C72" s="188">
        <v>13712</v>
      </c>
      <c r="D72" s="187">
        <v>13970</v>
      </c>
      <c r="E72" s="191"/>
      <c r="F72" s="87"/>
      <c r="G72" s="564"/>
      <c r="H72" s="565"/>
    </row>
    <row r="73" spans="1:13">
      <c r="A73" s="84" t="s">
        <v>224</v>
      </c>
      <c r="B73" s="86" t="s">
        <v>225</v>
      </c>
      <c r="C73" s="188">
        <v>12147</v>
      </c>
      <c r="D73" s="187">
        <v>15845</v>
      </c>
      <c r="E73" s="460" t="s">
        <v>230</v>
      </c>
      <c r="F73" s="89" t="s">
        <v>231</v>
      </c>
      <c r="G73" s="465"/>
      <c r="H73" s="466"/>
    </row>
    <row r="74" spans="1:13">
      <c r="A74" s="84" t="s">
        <v>226</v>
      </c>
      <c r="B74" s="86" t="s">
        <v>227</v>
      </c>
      <c r="C74" s="188"/>
      <c r="D74" s="187"/>
      <c r="E74" s="539"/>
      <c r="F74" s="540"/>
      <c r="G74" s="564"/>
      <c r="H74" s="590"/>
    </row>
    <row r="75" spans="1:13">
      <c r="A75" s="84" t="s">
        <v>228</v>
      </c>
      <c r="B75" s="86" t="s">
        <v>229</v>
      </c>
      <c r="C75" s="188">
        <v>829</v>
      </c>
      <c r="D75" s="187">
        <v>1628</v>
      </c>
      <c r="E75" s="472" t="s">
        <v>160</v>
      </c>
      <c r="F75" s="89" t="s">
        <v>233</v>
      </c>
      <c r="G75" s="465"/>
      <c r="H75" s="466"/>
    </row>
    <row r="76" spans="1:13">
      <c r="A76" s="469" t="s">
        <v>77</v>
      </c>
      <c r="B76" s="90" t="s">
        <v>232</v>
      </c>
      <c r="C76" s="566">
        <f>SUM(C68:C75)</f>
        <v>288611</v>
      </c>
      <c r="D76" s="567">
        <f>SUM(D68:D75)</f>
        <v>275558</v>
      </c>
      <c r="E76" s="539"/>
      <c r="F76" s="540"/>
      <c r="G76" s="564"/>
      <c r="H76" s="590"/>
    </row>
    <row r="77" spans="1:13">
      <c r="A77" s="84"/>
      <c r="B77" s="86"/>
      <c r="C77" s="564"/>
      <c r="D77" s="565"/>
      <c r="E77" s="460" t="s">
        <v>234</v>
      </c>
      <c r="F77" s="89" t="s">
        <v>235</v>
      </c>
      <c r="G77" s="465">
        <v>661</v>
      </c>
      <c r="H77" s="466">
        <v>813</v>
      </c>
    </row>
    <row r="78" spans="1:13">
      <c r="A78" s="94" t="s">
        <v>236</v>
      </c>
      <c r="B78" s="83"/>
      <c r="C78" s="568"/>
      <c r="D78" s="569"/>
      <c r="E78" s="84"/>
      <c r="F78" s="95"/>
      <c r="G78" s="584"/>
      <c r="H78" s="585"/>
      <c r="M78" s="92"/>
    </row>
    <row r="79" spans="1:13">
      <c r="A79" s="84" t="s">
        <v>237</v>
      </c>
      <c r="B79" s="86" t="s">
        <v>238</v>
      </c>
      <c r="C79" s="564">
        <f>SUM(C80:C82)</f>
        <v>0</v>
      </c>
      <c r="D79" s="565">
        <f>SUM(D80:D82)</f>
        <v>0</v>
      </c>
      <c r="E79" s="196" t="s">
        <v>824</v>
      </c>
      <c r="F79" s="93" t="s">
        <v>241</v>
      </c>
      <c r="G79" s="568">
        <f>G71+G73+G75+G77</f>
        <v>395049</v>
      </c>
      <c r="H79" s="569">
        <f>H71+H73+H75+H77</f>
        <v>423892</v>
      </c>
    </row>
    <row r="80" spans="1:13">
      <c r="A80" s="84" t="s">
        <v>239</v>
      </c>
      <c r="B80" s="86" t="s">
        <v>240</v>
      </c>
      <c r="C80" s="188"/>
      <c r="D80" s="187"/>
      <c r="E80" s="539"/>
      <c r="F80" s="540"/>
      <c r="G80" s="564"/>
      <c r="H80" s="590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91"/>
      <c r="H81" s="592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91"/>
      <c r="H82" s="592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91"/>
      <c r="H83" s="592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91"/>
      <c r="H84" s="592"/>
    </row>
    <row r="85" spans="1:13">
      <c r="A85" s="469" t="s">
        <v>249</v>
      </c>
      <c r="B85" s="90" t="s">
        <v>250</v>
      </c>
      <c r="C85" s="566">
        <f>C84+C83+C79</f>
        <v>0</v>
      </c>
      <c r="D85" s="567">
        <f>D84+D83+D79</f>
        <v>0</v>
      </c>
      <c r="E85" s="195"/>
      <c r="F85" s="97"/>
      <c r="G85" s="591"/>
      <c r="H85" s="592"/>
    </row>
    <row r="86" spans="1:13">
      <c r="A86" s="84"/>
      <c r="B86" s="90"/>
      <c r="C86" s="564"/>
      <c r="D86" s="565"/>
      <c r="E86" s="198"/>
      <c r="F86" s="97"/>
      <c r="G86" s="591"/>
      <c r="H86" s="592"/>
      <c r="M86" s="92"/>
    </row>
    <row r="87" spans="1:13">
      <c r="A87" s="94" t="s">
        <v>251</v>
      </c>
      <c r="B87" s="86"/>
      <c r="C87" s="564"/>
      <c r="D87" s="565"/>
      <c r="E87" s="195"/>
      <c r="F87" s="97"/>
      <c r="G87" s="591"/>
      <c r="H87" s="592"/>
    </row>
    <row r="88" spans="1:13">
      <c r="A88" s="84" t="s">
        <v>252</v>
      </c>
      <c r="B88" s="86" t="s">
        <v>253</v>
      </c>
      <c r="C88" s="188">
        <v>2792</v>
      </c>
      <c r="D88" s="187">
        <v>2149</v>
      </c>
      <c r="E88" s="198"/>
      <c r="F88" s="97"/>
      <c r="G88" s="591"/>
      <c r="H88" s="592"/>
      <c r="M88" s="92"/>
    </row>
    <row r="89" spans="1:13">
      <c r="A89" s="84" t="s">
        <v>254</v>
      </c>
      <c r="B89" s="86" t="s">
        <v>255</v>
      </c>
      <c r="C89" s="188">
        <v>16220</v>
      </c>
      <c r="D89" s="187">
        <v>35568</v>
      </c>
      <c r="E89" s="195"/>
      <c r="F89" s="97"/>
      <c r="G89" s="591"/>
      <c r="H89" s="592"/>
    </row>
    <row r="90" spans="1:13">
      <c r="A90" s="84" t="s">
        <v>256</v>
      </c>
      <c r="B90" s="86" t="s">
        <v>257</v>
      </c>
      <c r="C90" s="188">
        <v>4</v>
      </c>
      <c r="D90" s="187">
        <v>5</v>
      </c>
      <c r="E90" s="195"/>
      <c r="F90" s="97"/>
      <c r="G90" s="591"/>
      <c r="H90" s="592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91"/>
      <c r="H91" s="592"/>
    </row>
    <row r="92" spans="1:13">
      <c r="A92" s="469" t="s">
        <v>823</v>
      </c>
      <c r="B92" s="90" t="s">
        <v>260</v>
      </c>
      <c r="C92" s="566">
        <f>SUM(C88:C91)</f>
        <v>19016</v>
      </c>
      <c r="D92" s="567">
        <f>SUM(D88:D91)</f>
        <v>37722</v>
      </c>
      <c r="E92" s="195"/>
      <c r="F92" s="97"/>
      <c r="G92" s="591"/>
      <c r="H92" s="592"/>
      <c r="M92" s="92"/>
    </row>
    <row r="93" spans="1:13">
      <c r="A93" s="460" t="s">
        <v>261</v>
      </c>
      <c r="B93" s="90" t="s">
        <v>262</v>
      </c>
      <c r="C93" s="465">
        <v>2128</v>
      </c>
      <c r="D93" s="466">
        <v>2003</v>
      </c>
      <c r="E93" s="195"/>
      <c r="F93" s="97"/>
      <c r="G93" s="591"/>
      <c r="H93" s="592"/>
    </row>
    <row r="94" spans="1:13" ht="16.5" thickBot="1">
      <c r="A94" s="477" t="s">
        <v>263</v>
      </c>
      <c r="B94" s="217" t="s">
        <v>264</v>
      </c>
      <c r="C94" s="570">
        <f>C65+C76+C85+C92+C93</f>
        <v>579284</v>
      </c>
      <c r="D94" s="571">
        <f>D65+D76+D85+D92+D93</f>
        <v>571232</v>
      </c>
      <c r="E94" s="218"/>
      <c r="F94" s="219"/>
      <c r="G94" s="593"/>
      <c r="H94" s="594"/>
      <c r="M94" s="92"/>
    </row>
    <row r="95" spans="1:13" ht="32.25" thickBot="1">
      <c r="A95" s="474" t="s">
        <v>265</v>
      </c>
      <c r="B95" s="475" t="s">
        <v>266</v>
      </c>
      <c r="C95" s="572">
        <f>C94+C56</f>
        <v>1215889</v>
      </c>
      <c r="D95" s="573">
        <f>D94+D56</f>
        <v>1204978</v>
      </c>
      <c r="E95" s="220" t="s">
        <v>915</v>
      </c>
      <c r="F95" s="476" t="s">
        <v>268</v>
      </c>
      <c r="G95" s="572">
        <f>G37+G40+G56+G79</f>
        <v>1215889</v>
      </c>
      <c r="H95" s="573">
        <f>H37+H40+H56+H79</f>
        <v>1204978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61" t="s">
        <v>949</v>
      </c>
      <c r="B98" s="672">
        <f>pdeReportingDate</f>
        <v>44799</v>
      </c>
      <c r="C98" s="672"/>
      <c r="D98" s="672"/>
      <c r="E98" s="672"/>
      <c r="F98" s="672"/>
      <c r="G98" s="672"/>
      <c r="H98" s="672"/>
      <c r="M98" s="92"/>
    </row>
    <row r="99" spans="1:13">
      <c r="A99" s="661"/>
      <c r="B99" s="51"/>
      <c r="C99" s="51"/>
      <c r="D99" s="51"/>
      <c r="E99" s="51"/>
      <c r="F99" s="51"/>
      <c r="G99" s="51"/>
      <c r="H99" s="51"/>
      <c r="M99" s="92"/>
    </row>
    <row r="100" spans="1:13">
      <c r="A100" s="662" t="s">
        <v>8</v>
      </c>
      <c r="B100" s="673" t="str">
        <f>authorName</f>
        <v>ЛЮДМИЛА БОНДЖОВА</v>
      </c>
      <c r="C100" s="673"/>
      <c r="D100" s="673"/>
      <c r="E100" s="673"/>
      <c r="F100" s="673"/>
      <c r="G100" s="673"/>
      <c r="H100" s="673"/>
    </row>
    <row r="101" spans="1:13">
      <c r="A101" s="662"/>
      <c r="B101" s="75"/>
      <c r="C101" s="75"/>
      <c r="D101" s="75"/>
      <c r="E101" s="75"/>
      <c r="F101" s="75"/>
      <c r="G101" s="75"/>
      <c r="H101" s="75"/>
    </row>
    <row r="102" spans="1:13">
      <c r="A102" s="662" t="s">
        <v>894</v>
      </c>
      <c r="B102" s="674"/>
      <c r="C102" s="674"/>
      <c r="D102" s="674"/>
      <c r="E102" s="674"/>
      <c r="F102" s="674"/>
      <c r="G102" s="674"/>
      <c r="H102" s="674"/>
    </row>
    <row r="103" spans="1:13" ht="21.75" customHeight="1">
      <c r="A103" s="663"/>
      <c r="B103" s="675" t="str">
        <f>+Начална!B17</f>
        <v>ОГНЯН ДОНЕВ</v>
      </c>
      <c r="C103" s="671"/>
      <c r="D103" s="671"/>
      <c r="E103" s="671"/>
      <c r="M103" s="92"/>
    </row>
    <row r="104" spans="1:13" ht="21.75" customHeight="1">
      <c r="A104" s="663"/>
      <c r="B104" s="671"/>
      <c r="C104" s="671"/>
      <c r="D104" s="671"/>
      <c r="E104" s="671"/>
    </row>
    <row r="105" spans="1:13" ht="21.75" customHeight="1">
      <c r="A105" s="663"/>
      <c r="B105" s="671"/>
      <c r="C105" s="671"/>
      <c r="D105" s="671"/>
      <c r="E105" s="671"/>
      <c r="M105" s="92"/>
    </row>
    <row r="106" spans="1:13" ht="21.75" customHeight="1">
      <c r="A106" s="663"/>
      <c r="B106" s="671"/>
      <c r="C106" s="671"/>
      <c r="D106" s="671"/>
      <c r="E106" s="671"/>
    </row>
    <row r="107" spans="1:13" ht="21.75" customHeight="1">
      <c r="A107" s="663"/>
      <c r="B107" s="671"/>
      <c r="C107" s="671"/>
      <c r="D107" s="671"/>
      <c r="E107" s="671"/>
      <c r="M107" s="92"/>
    </row>
    <row r="108" spans="1:13" ht="21.75" customHeight="1">
      <c r="A108" s="663"/>
      <c r="B108" s="671"/>
      <c r="C108" s="671"/>
      <c r="D108" s="671"/>
      <c r="E108" s="671"/>
    </row>
    <row r="109" spans="1:13" ht="21.75" customHeight="1">
      <c r="A109" s="663"/>
      <c r="B109" s="671"/>
      <c r="C109" s="671"/>
      <c r="D109" s="671"/>
      <c r="E109" s="671"/>
      <c r="M109" s="92"/>
    </row>
    <row r="117" spans="5:13">
      <c r="E117" s="545"/>
    </row>
    <row r="119" spans="5:13">
      <c r="E119" s="545"/>
      <c r="M119" s="92"/>
    </row>
    <row r="121" spans="5:13">
      <c r="E121" s="545"/>
      <c r="M121" s="92"/>
    </row>
    <row r="123" spans="5:13">
      <c r="E123" s="545"/>
    </row>
    <row r="125" spans="5:13">
      <c r="E125" s="545"/>
      <c r="M125" s="92"/>
    </row>
    <row r="127" spans="5:13">
      <c r="E127" s="545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5"/>
      <c r="M135" s="92"/>
    </row>
    <row r="137" spans="5:13">
      <c r="E137" s="545"/>
      <c r="M137" s="92"/>
    </row>
    <row r="139" spans="5:13">
      <c r="E139" s="545"/>
      <c r="M139" s="92"/>
    </row>
    <row r="141" spans="5:13">
      <c r="E141" s="545"/>
      <c r="M141" s="92"/>
    </row>
    <row r="143" spans="5:13">
      <c r="E143" s="545"/>
    </row>
    <row r="145" spans="5:13">
      <c r="E145" s="545"/>
    </row>
    <row r="147" spans="5:13">
      <c r="E147" s="545"/>
    </row>
    <row r="149" spans="5:13">
      <c r="E149" s="545"/>
      <c r="M149" s="92"/>
    </row>
    <row r="151" spans="5:13">
      <c r="M151" s="92"/>
    </row>
    <row r="153" spans="5:13">
      <c r="M153" s="92"/>
    </row>
    <row r="159" spans="5:13">
      <c r="E159" s="545"/>
    </row>
    <row r="161" spans="1:18" s="543" customFormat="1">
      <c r="A161" s="44"/>
      <c r="B161" s="44"/>
      <c r="C161" s="44"/>
      <c r="D161" s="44"/>
      <c r="E161" s="545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3" customFormat="1">
      <c r="A163" s="44"/>
      <c r="B163" s="44"/>
      <c r="C163" s="44"/>
      <c r="D163" s="44"/>
      <c r="E163" s="54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3" customFormat="1">
      <c r="A165" s="44"/>
      <c r="B165" s="44"/>
      <c r="C165" s="44"/>
      <c r="D165" s="44"/>
      <c r="E165" s="54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3" customFormat="1">
      <c r="A167" s="44"/>
      <c r="B167" s="44"/>
      <c r="C167" s="44"/>
      <c r="D167" s="44"/>
      <c r="E167" s="54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3" customFormat="1">
      <c r="A175" s="44"/>
      <c r="B175" s="44"/>
      <c r="C175" s="44"/>
      <c r="D175" s="44"/>
      <c r="E175" s="545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3" customFormat="1">
      <c r="A177" s="44"/>
      <c r="B177" s="44"/>
      <c r="C177" s="44"/>
      <c r="D177" s="44"/>
      <c r="E177" s="54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3" customFormat="1">
      <c r="A179" s="44"/>
      <c r="B179" s="44"/>
      <c r="C179" s="44"/>
      <c r="D179" s="44"/>
      <c r="E179" s="54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3" customFormat="1">
      <c r="A181" s="44"/>
      <c r="B181" s="44"/>
      <c r="C181" s="44"/>
      <c r="D181" s="44"/>
      <c r="E181" s="54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3" customFormat="1">
      <c r="A185" s="44"/>
      <c r="B185" s="44"/>
      <c r="C185" s="44"/>
      <c r="D185" s="44"/>
      <c r="E185" s="545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customSheetViews>
    <customSheetView guid="{3239EBCD-0009-49F8-9CD4-7149DE51B97F}" scale="80" showPageBreaks="1" printArea="1" view="pageBreakPreview" topLeftCell="A43">
      <selection activeCell="G66" sqref="G66:G67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horizontalDpi="300" verticalDpi="300" r:id="rId1"/>
      <headerFooter alignWithMargins="0"/>
    </customSheetView>
    <customSheetView guid="{23BEE295-D922-43C3-8F5E-52A6C7961032}" scale="80" topLeftCell="B7">
      <selection activeCell="E7" sqref="E7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horizontalDpi="300" verticalDpi="300" r:id="rId2"/>
      <headerFooter alignWithMargins="0"/>
    </customSheetView>
    <customSheetView guid="{D5A9973C-5346-486A-9057-6F44650CE612}" topLeftCell="A74">
      <selection activeCell="B102" sqref="B102:H102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r:id="rId3"/>
      <headerFooter alignWithMargins="0"/>
    </customSheetView>
  </customSheetViews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4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3"/>
  <sheetViews>
    <sheetView topLeftCell="A26" workbookViewId="0">
      <selection activeCell="C34" sqref="C34"/>
    </sheetView>
  </sheetViews>
  <sheetFormatPr defaultColWidth="9.28515625" defaultRowHeight="15.75"/>
  <cols>
    <col min="1" max="1" width="50.7109375" style="538" customWidth="1"/>
    <col min="2" max="2" width="10.7109375" style="538" customWidth="1"/>
    <col min="3" max="4" width="15.7109375" style="182" customWidth="1"/>
    <col min="5" max="5" width="50.7109375" style="538" customWidth="1"/>
    <col min="6" max="6" width="10.7109375" style="53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30.06.2022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1"/>
      <c r="H10" s="602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48113</v>
      </c>
      <c r="D12" s="308">
        <v>39093</v>
      </c>
      <c r="E12" s="185" t="s">
        <v>277</v>
      </c>
      <c r="F12" s="231" t="s">
        <v>278</v>
      </c>
      <c r="G12" s="307">
        <v>135113</v>
      </c>
      <c r="H12" s="308">
        <v>121314</v>
      </c>
    </row>
    <row r="13" spans="1:8">
      <c r="A13" s="185" t="s">
        <v>279</v>
      </c>
      <c r="B13" s="181" t="s">
        <v>280</v>
      </c>
      <c r="C13" s="307">
        <v>32929</v>
      </c>
      <c r="D13" s="308">
        <v>33378</v>
      </c>
      <c r="E13" s="185" t="s">
        <v>281</v>
      </c>
      <c r="F13" s="231" t="s">
        <v>282</v>
      </c>
      <c r="G13" s="307">
        <v>667806</v>
      </c>
      <c r="H13" s="308">
        <v>637730</v>
      </c>
    </row>
    <row r="14" spans="1:8">
      <c r="A14" s="185" t="s">
        <v>283</v>
      </c>
      <c r="B14" s="181" t="s">
        <v>284</v>
      </c>
      <c r="C14" s="307">
        <v>25653</v>
      </c>
      <c r="D14" s="308">
        <v>26929</v>
      </c>
      <c r="E14" s="236" t="s">
        <v>285</v>
      </c>
      <c r="F14" s="231" t="s">
        <v>286</v>
      </c>
      <c r="G14" s="307">
        <v>4064</v>
      </c>
      <c r="H14" s="308">
        <v>4124</v>
      </c>
    </row>
    <row r="15" spans="1:8">
      <c r="A15" s="185" t="s">
        <v>287</v>
      </c>
      <c r="B15" s="181" t="s">
        <v>288</v>
      </c>
      <c r="C15" s="307">
        <v>62814</v>
      </c>
      <c r="D15" s="308">
        <v>63299</v>
      </c>
      <c r="E15" s="236" t="s">
        <v>79</v>
      </c>
      <c r="F15" s="231" t="s">
        <v>289</v>
      </c>
      <c r="G15" s="307">
        <v>981</v>
      </c>
      <c r="H15" s="308">
        <v>2049</v>
      </c>
    </row>
    <row r="16" spans="1:8">
      <c r="A16" s="185" t="s">
        <v>290</v>
      </c>
      <c r="B16" s="181" t="s">
        <v>291</v>
      </c>
      <c r="C16" s="307">
        <v>10238</v>
      </c>
      <c r="D16" s="308">
        <v>11042</v>
      </c>
      <c r="E16" s="227" t="s">
        <v>52</v>
      </c>
      <c r="F16" s="255" t="s">
        <v>292</v>
      </c>
      <c r="G16" s="597">
        <f>SUM(G12:G15)</f>
        <v>807964</v>
      </c>
      <c r="H16" s="598">
        <f>SUM(H12:H15)</f>
        <v>765217</v>
      </c>
    </row>
    <row r="17" spans="1:8" ht="31.5">
      <c r="A17" s="185" t="s">
        <v>293</v>
      </c>
      <c r="B17" s="181" t="s">
        <v>294</v>
      </c>
      <c r="C17" s="307">
        <v>585362</v>
      </c>
      <c r="D17" s="308">
        <v>557930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-3182</v>
      </c>
      <c r="D18" s="308">
        <v>-3143</v>
      </c>
      <c r="E18" s="225" t="s">
        <v>297</v>
      </c>
      <c r="F18" s="229" t="s">
        <v>298</v>
      </c>
      <c r="G18" s="608">
        <v>375</v>
      </c>
      <c r="H18" s="609">
        <v>442</v>
      </c>
    </row>
    <row r="19" spans="1:8">
      <c r="A19" s="185" t="s">
        <v>299</v>
      </c>
      <c r="B19" s="181" t="s">
        <v>300</v>
      </c>
      <c r="C19" s="307">
        <v>2591</v>
      </c>
      <c r="D19" s="308">
        <v>3234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v>-685</v>
      </c>
      <c r="D20" s="308">
        <v>-148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7">
        <f>SUM(C12:C18)+C19</f>
        <v>764518</v>
      </c>
      <c r="D22" s="598">
        <f>SUM(D12:D18)+D19</f>
        <v>731762</v>
      </c>
      <c r="E22" s="185" t="s">
        <v>309</v>
      </c>
      <c r="F22" s="228" t="s">
        <v>310</v>
      </c>
      <c r="G22" s="307">
        <v>1734</v>
      </c>
      <c r="H22" s="308">
        <v>2444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26</v>
      </c>
      <c r="H23" s="308">
        <v>235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/>
      <c r="H24" s="308">
        <v>139</v>
      </c>
    </row>
    <row r="25" spans="1:8" ht="31.5">
      <c r="A25" s="185" t="s">
        <v>316</v>
      </c>
      <c r="B25" s="228" t="s">
        <v>317</v>
      </c>
      <c r="C25" s="307">
        <v>2896</v>
      </c>
      <c r="D25" s="308">
        <v>6148</v>
      </c>
      <c r="E25" s="185" t="s">
        <v>318</v>
      </c>
      <c r="F25" s="228" t="s">
        <v>319</v>
      </c>
      <c r="G25" s="307">
        <v>312</v>
      </c>
      <c r="H25" s="308">
        <v>1461</v>
      </c>
    </row>
    <row r="26" spans="1:8" ht="31.5">
      <c r="A26" s="185" t="s">
        <v>320</v>
      </c>
      <c r="B26" s="228" t="s">
        <v>321</v>
      </c>
      <c r="C26" s="307"/>
      <c r="D26" s="308"/>
      <c r="E26" s="185" t="s">
        <v>322</v>
      </c>
      <c r="F26" s="228" t="s">
        <v>323</v>
      </c>
      <c r="G26" s="307">
        <v>52</v>
      </c>
      <c r="H26" s="308">
        <v>1253</v>
      </c>
    </row>
    <row r="27" spans="1:8" ht="31.5">
      <c r="A27" s="185" t="s">
        <v>324</v>
      </c>
      <c r="B27" s="228" t="s">
        <v>325</v>
      </c>
      <c r="C27" s="307">
        <v>88</v>
      </c>
      <c r="D27" s="308"/>
      <c r="E27" s="227" t="s">
        <v>104</v>
      </c>
      <c r="F27" s="229" t="s">
        <v>326</v>
      </c>
      <c r="G27" s="597">
        <f>SUM(G22:G26)</f>
        <v>2124</v>
      </c>
      <c r="H27" s="598">
        <f>SUM(H22:H26)</f>
        <v>5532</v>
      </c>
    </row>
    <row r="28" spans="1:8">
      <c r="A28" s="185" t="s">
        <v>79</v>
      </c>
      <c r="B28" s="228" t="s">
        <v>327</v>
      </c>
      <c r="C28" s="307">
        <v>706</v>
      </c>
      <c r="D28" s="308">
        <v>605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7">
        <f>SUM(C25:C28)</f>
        <v>3690</v>
      </c>
      <c r="D29" s="598">
        <f>SUM(D25:D28)</f>
        <v>6753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3">
        <f>C29+C22</f>
        <v>768208</v>
      </c>
      <c r="D31" s="604">
        <f>D29+D22</f>
        <v>738515</v>
      </c>
      <c r="E31" s="242" t="s">
        <v>800</v>
      </c>
      <c r="F31" s="257" t="s">
        <v>331</v>
      </c>
      <c r="G31" s="244">
        <f>G16+G18+G27</f>
        <v>810463</v>
      </c>
      <c r="H31" s="245">
        <f>H16+H18+H27</f>
        <v>771191</v>
      </c>
    </row>
    <row r="32" spans="1:8">
      <c r="A32" s="224"/>
      <c r="B32" s="177"/>
      <c r="C32" s="595"/>
      <c r="D32" s="596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42255</v>
      </c>
      <c r="D33" s="235">
        <f>IF((H31-D31)&gt;0,H31-D31,0)</f>
        <v>32676</v>
      </c>
      <c r="E33" s="224" t="s">
        <v>334</v>
      </c>
      <c r="F33" s="229" t="s">
        <v>335</v>
      </c>
      <c r="G33" s="597">
        <f>IF((C31-G31)&gt;0,C31-G31,0)</f>
        <v>0</v>
      </c>
      <c r="H33" s="598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9968</v>
      </c>
      <c r="D34" s="308">
        <v>4579</v>
      </c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605">
        <f>C31-C34+C35</f>
        <v>758240</v>
      </c>
      <c r="D36" s="606">
        <f>D31-D34+D35</f>
        <v>733936</v>
      </c>
      <c r="E36" s="253" t="s">
        <v>346</v>
      </c>
      <c r="F36" s="247" t="s">
        <v>347</v>
      </c>
      <c r="G36" s="258">
        <f>G35-G34+G31</f>
        <v>810463</v>
      </c>
      <c r="H36" s="259">
        <f>H35-H34+H31</f>
        <v>771191</v>
      </c>
    </row>
    <row r="37" spans="1:8">
      <c r="A37" s="252" t="s">
        <v>348</v>
      </c>
      <c r="B37" s="222" t="s">
        <v>349</v>
      </c>
      <c r="C37" s="603">
        <f>IF((G36-C36)&gt;0,G36-C36,0)</f>
        <v>52223</v>
      </c>
      <c r="D37" s="604">
        <f>IF((H36-D36)&gt;0,H36-D36,0)</f>
        <v>37255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97">
        <f>C39+C40+C41</f>
        <v>5953</v>
      </c>
      <c r="D38" s="598">
        <f>D39+D40+D41</f>
        <v>3399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5953</v>
      </c>
      <c r="D39" s="308">
        <v>3399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46270</v>
      </c>
      <c r="D42" s="235">
        <f>+IF((H36-D36-D38)&gt;0,H36-D36-D38,0)</f>
        <v>33856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>
        <v>2905</v>
      </c>
      <c r="D43" s="308">
        <v>1664</v>
      </c>
      <c r="E43" s="224" t="s">
        <v>364</v>
      </c>
      <c r="F43" s="186" t="s">
        <v>366</v>
      </c>
      <c r="G43" s="554"/>
      <c r="H43" s="607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43365</v>
      </c>
      <c r="D44" s="259">
        <f>IF(H42=0,IF(D42-D43&gt;0,D42-D43+H43,0),IF(H42-H43&lt;0,H43-H42+D42,0))</f>
        <v>32192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9">
        <f>C36+C38+C42</f>
        <v>810463</v>
      </c>
      <c r="D45" s="600">
        <f>D36+D38+D42</f>
        <v>771191</v>
      </c>
      <c r="E45" s="261" t="s">
        <v>373</v>
      </c>
      <c r="F45" s="263" t="s">
        <v>374</v>
      </c>
      <c r="G45" s="599">
        <f>G42+G36</f>
        <v>810463</v>
      </c>
      <c r="H45" s="600">
        <f>H42+H36</f>
        <v>771191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76" t="s">
        <v>950</v>
      </c>
      <c r="B47" s="676"/>
      <c r="C47" s="676"/>
      <c r="D47" s="676"/>
      <c r="E47" s="676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61" t="s">
        <v>949</v>
      </c>
      <c r="B50" s="672">
        <f>pdeReportingDate</f>
        <v>44799</v>
      </c>
      <c r="C50" s="672"/>
      <c r="D50" s="672"/>
      <c r="E50" s="672"/>
      <c r="F50" s="672"/>
      <c r="G50" s="672"/>
      <c r="H50" s="672"/>
      <c r="M50" s="92"/>
    </row>
    <row r="51" spans="1:13" s="41" customFormat="1">
      <c r="A51" s="661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2" t="s">
        <v>8</v>
      </c>
      <c r="B52" s="673" t="str">
        <f>authorName</f>
        <v>ЛЮДМИЛА БОНДЖОВА</v>
      </c>
      <c r="C52" s="673"/>
      <c r="D52" s="673"/>
      <c r="E52" s="673"/>
      <c r="F52" s="673"/>
      <c r="G52" s="673"/>
      <c r="H52" s="673"/>
    </row>
    <row r="53" spans="1:13" s="41" customFormat="1">
      <c r="A53" s="662"/>
      <c r="B53" s="75"/>
      <c r="C53" s="75"/>
      <c r="D53" s="75"/>
      <c r="E53" s="75"/>
      <c r="F53" s="75"/>
      <c r="G53" s="75"/>
      <c r="H53" s="75"/>
    </row>
    <row r="54" spans="1:13" s="41" customFormat="1">
      <c r="A54" s="662" t="s">
        <v>894</v>
      </c>
      <c r="B54" s="674"/>
      <c r="C54" s="674"/>
      <c r="D54" s="674"/>
      <c r="E54" s="674"/>
      <c r="F54" s="674"/>
      <c r="G54" s="674"/>
      <c r="H54" s="674"/>
    </row>
    <row r="55" spans="1:13" ht="15.75" customHeight="1">
      <c r="A55" s="663"/>
      <c r="B55" s="675" t="str">
        <f>+Начална!B17</f>
        <v>ОГНЯН ДОНЕВ</v>
      </c>
      <c r="C55" s="671"/>
      <c r="D55" s="671"/>
      <c r="E55" s="671"/>
      <c r="F55" s="543"/>
      <c r="G55" s="44"/>
      <c r="H55" s="41"/>
    </row>
    <row r="56" spans="1:13" ht="15.75" customHeight="1">
      <c r="A56" s="663"/>
      <c r="B56" s="671"/>
      <c r="C56" s="671"/>
      <c r="D56" s="671"/>
      <c r="E56" s="671"/>
      <c r="F56" s="543"/>
      <c r="G56" s="44"/>
      <c r="H56" s="41"/>
    </row>
    <row r="57" spans="1:13" ht="15.75" customHeight="1">
      <c r="A57" s="663"/>
      <c r="B57" s="671"/>
      <c r="C57" s="671"/>
      <c r="D57" s="671"/>
      <c r="E57" s="671"/>
      <c r="F57" s="543"/>
      <c r="G57" s="44"/>
      <c r="H57" s="41"/>
    </row>
    <row r="58" spans="1:13" ht="15.75" customHeight="1">
      <c r="A58" s="663"/>
      <c r="B58" s="671"/>
      <c r="C58" s="671"/>
      <c r="D58" s="671"/>
      <c r="E58" s="671"/>
      <c r="F58" s="543"/>
      <c r="G58" s="44"/>
      <c r="H58" s="41"/>
    </row>
    <row r="59" spans="1:13">
      <c r="A59" s="663"/>
      <c r="B59" s="671"/>
      <c r="C59" s="671"/>
      <c r="D59" s="671"/>
      <c r="E59" s="671"/>
      <c r="F59" s="543"/>
      <c r="G59" s="44"/>
      <c r="H59" s="41"/>
    </row>
    <row r="60" spans="1:13">
      <c r="A60" s="663"/>
      <c r="B60" s="671"/>
      <c r="C60" s="671"/>
      <c r="D60" s="671"/>
      <c r="E60" s="671"/>
      <c r="F60" s="543"/>
      <c r="G60" s="44"/>
      <c r="H60" s="41"/>
    </row>
    <row r="61" spans="1:13">
      <c r="A61" s="663"/>
      <c r="B61" s="671"/>
      <c r="C61" s="671"/>
      <c r="D61" s="671"/>
      <c r="E61" s="671"/>
      <c r="F61" s="543"/>
      <c r="G61" s="44"/>
      <c r="H61" s="41"/>
    </row>
    <row r="62" spans="1:13">
      <c r="A62" s="31"/>
      <c r="B62" s="31"/>
      <c r="C62" s="535"/>
      <c r="D62" s="535"/>
      <c r="E62" s="31"/>
      <c r="F62" s="31"/>
      <c r="G62" s="537"/>
      <c r="H62" s="537"/>
    </row>
    <row r="63" spans="1:13">
      <c r="A63" s="31"/>
      <c r="B63" s="31"/>
      <c r="C63" s="535"/>
      <c r="D63" s="535"/>
      <c r="E63" s="31"/>
      <c r="F63" s="31"/>
      <c r="G63" s="537"/>
      <c r="H63" s="537"/>
    </row>
    <row r="64" spans="1:13">
      <c r="A64" s="31"/>
      <c r="B64" s="31"/>
      <c r="C64" s="535"/>
      <c r="D64" s="535"/>
      <c r="E64" s="31"/>
      <c r="F64" s="31"/>
      <c r="G64" s="537"/>
      <c r="H64" s="537"/>
    </row>
    <row r="65" spans="1:8">
      <c r="A65" s="31"/>
      <c r="B65" s="31"/>
      <c r="C65" s="535"/>
      <c r="D65" s="535"/>
      <c r="E65" s="31"/>
      <c r="F65" s="31"/>
      <c r="G65" s="537"/>
      <c r="H65" s="537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customSheetViews>
    <customSheetView guid="{3239EBCD-0009-49F8-9CD4-7149DE51B97F}" scale="80" showPageBreaks="1" fitToPage="1" printArea="1" view="pageBreakPreview" topLeftCell="A13">
      <selection activeCell="G15" sqref="G15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verticalDpi="300" r:id="rId1"/>
      <headerFooter alignWithMargins="0"/>
    </customSheetView>
    <customSheetView guid="{23BEE295-D922-43C3-8F5E-52A6C7961032}" fitToPage="1"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verticalDpi="300" r:id="rId2"/>
      <headerFooter alignWithMargins="0"/>
    </customSheetView>
    <customSheetView guid="{D5A9973C-5346-486A-9057-6F44650CE612}" fitToPage="1"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r:id="rId3"/>
      <headerFooter alignWithMargins="0"/>
    </customSheetView>
  </customSheetViews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31" workbookViewId="0">
      <selection activeCell="D45" sqref="D45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30.06.2022 г.</v>
      </c>
      <c r="B6" s="48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896510</v>
      </c>
      <c r="D11" s="187">
        <v>775978</v>
      </c>
      <c r="E11" s="168"/>
      <c r="F11" s="168"/>
    </row>
    <row r="12" spans="1:13">
      <c r="A12" s="268" t="s">
        <v>380</v>
      </c>
      <c r="B12" s="169" t="s">
        <v>381</v>
      </c>
      <c r="C12" s="188">
        <v>-760656</v>
      </c>
      <c r="D12" s="187">
        <v>-708413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188">
        <v>0</v>
      </c>
      <c r="D13" s="187">
        <v>0</v>
      </c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-69550</v>
      </c>
      <c r="D14" s="187">
        <v>-72108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-31639</v>
      </c>
      <c r="D15" s="187">
        <v>-33979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>
        <v>-4134</v>
      </c>
      <c r="D16" s="187">
        <v>-4432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188">
        <v>-2533</v>
      </c>
      <c r="D18" s="187">
        <v>-3868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-240</v>
      </c>
      <c r="D19" s="187">
        <v>-175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-422</v>
      </c>
      <c r="D20" s="187">
        <v>-164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7">
        <f>SUM(C11:C20)</f>
        <v>27336</v>
      </c>
      <c r="D21" s="628">
        <f>SUM(D11:D20)</f>
        <v>-47161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-9576</v>
      </c>
      <c r="D23" s="187">
        <v>-13221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>
        <v>1148</v>
      </c>
      <c r="D24" s="187">
        <v>868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>
        <v>-1500</v>
      </c>
      <c r="D25" s="187">
        <v>-2846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>
        <v>684</v>
      </c>
      <c r="D26" s="187">
        <v>1528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>
        <v>859</v>
      </c>
      <c r="D27" s="187">
        <v>121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>
        <v>-4578</v>
      </c>
      <c r="D28" s="187">
        <v>-2333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>
        <v>1012</v>
      </c>
      <c r="D29" s="187">
        <v>681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>
        <v>0</v>
      </c>
      <c r="D30" s="187">
        <v>183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>
        <v>0</v>
      </c>
      <c r="D31" s="187">
        <v>0</v>
      </c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>
        <v>12</v>
      </c>
      <c r="D32" s="187">
        <v>0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7">
        <f>SUM(C23:C32)</f>
        <v>-11939</v>
      </c>
      <c r="D33" s="628">
        <f>SUM(D23:D32)</f>
        <v>-15019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5"/>
      <c r="D34" s="626"/>
      <c r="E34" s="168"/>
      <c r="F34" s="168"/>
    </row>
    <row r="35" spans="1:13">
      <c r="A35" s="268" t="s">
        <v>423</v>
      </c>
      <c r="B35" s="169" t="s">
        <v>424</v>
      </c>
      <c r="C35" s="188"/>
      <c r="D35" s="187">
        <v>0</v>
      </c>
      <c r="E35" s="168"/>
      <c r="F35" s="168"/>
    </row>
    <row r="36" spans="1:13">
      <c r="A36" s="269" t="s">
        <v>425</v>
      </c>
      <c r="B36" s="169" t="s">
        <v>426</v>
      </c>
      <c r="C36" s="188">
        <v>-1918</v>
      </c>
      <c r="D36" s="187">
        <v>0</v>
      </c>
      <c r="E36" s="168"/>
      <c r="F36" s="168"/>
    </row>
    <row r="37" spans="1:13">
      <c r="A37" s="268" t="s">
        <v>427</v>
      </c>
      <c r="B37" s="169" t="s">
        <v>428</v>
      </c>
      <c r="C37" s="188">
        <v>4106</v>
      </c>
      <c r="D37" s="187">
        <v>13217</v>
      </c>
      <c r="E37" s="168"/>
      <c r="F37" s="168"/>
    </row>
    <row r="38" spans="1:13">
      <c r="A38" s="268" t="s">
        <v>429</v>
      </c>
      <c r="B38" s="169" t="s">
        <v>430</v>
      </c>
      <c r="C38" s="188">
        <v>-46441</v>
      </c>
      <c r="D38" s="187">
        <v>-52980</v>
      </c>
      <c r="E38" s="168"/>
      <c r="F38" s="168"/>
    </row>
    <row r="39" spans="1:13">
      <c r="A39" s="268" t="s">
        <v>431</v>
      </c>
      <c r="B39" s="169" t="s">
        <v>432</v>
      </c>
      <c r="C39" s="188">
        <v>-8602</v>
      </c>
      <c r="D39" s="187">
        <v>-10608</v>
      </c>
      <c r="E39" s="168"/>
      <c r="F39" s="168"/>
    </row>
    <row r="40" spans="1:13" ht="31.5">
      <c r="A40" s="268" t="s">
        <v>433</v>
      </c>
      <c r="B40" s="169" t="s">
        <v>434</v>
      </c>
      <c r="C40" s="188">
        <v>-176</v>
      </c>
      <c r="D40" s="187">
        <v>-1308</v>
      </c>
      <c r="E40" s="168"/>
      <c r="F40" s="168"/>
    </row>
    <row r="41" spans="1:13">
      <c r="A41" s="268" t="s">
        <v>435</v>
      </c>
      <c r="B41" s="169" t="s">
        <v>436</v>
      </c>
      <c r="C41" s="188">
        <v>-6</v>
      </c>
      <c r="D41" s="187">
        <v>-12</v>
      </c>
      <c r="E41" s="168"/>
      <c r="F41" s="168"/>
    </row>
    <row r="42" spans="1:13">
      <c r="A42" s="268" t="s">
        <v>437</v>
      </c>
      <c r="B42" s="169" t="s">
        <v>438</v>
      </c>
      <c r="C42" s="188">
        <v>18935</v>
      </c>
      <c r="D42" s="187">
        <v>109248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9">
        <f>SUM(C35:C42)</f>
        <v>-34102</v>
      </c>
      <c r="D43" s="630">
        <f>SUM(D35:D42)</f>
        <v>57557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-18705</v>
      </c>
      <c r="D44" s="298">
        <f>D43+D33+D21</f>
        <v>-4623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37717</v>
      </c>
      <c r="D45" s="300">
        <v>25139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19012</v>
      </c>
      <c r="D46" s="302">
        <f>D45+D44</f>
        <v>20516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19012</v>
      </c>
      <c r="D47" s="289">
        <v>20516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4</v>
      </c>
      <c r="D48" s="272">
        <v>152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9" t="s">
        <v>940</v>
      </c>
      <c r="G50" s="171"/>
      <c r="H50" s="171"/>
    </row>
    <row r="51" spans="1:13">
      <c r="A51" s="677" t="s">
        <v>946</v>
      </c>
      <c r="B51" s="677"/>
      <c r="C51" s="677"/>
      <c r="D51" s="677"/>
      <c r="G51" s="171"/>
      <c r="H51" s="171"/>
    </row>
    <row r="52" spans="1:13">
      <c r="A52" s="660"/>
      <c r="B52" s="660"/>
      <c r="C52" s="660"/>
      <c r="D52" s="660"/>
      <c r="G52" s="171"/>
      <c r="H52" s="171"/>
    </row>
    <row r="53" spans="1:13">
      <c r="A53" s="660"/>
      <c r="B53" s="660"/>
      <c r="C53" s="660"/>
      <c r="D53" s="660"/>
      <c r="G53" s="171"/>
      <c r="H53" s="171"/>
    </row>
    <row r="54" spans="1:13" s="41" customFormat="1">
      <c r="A54" s="661" t="s">
        <v>949</v>
      </c>
      <c r="B54" s="672">
        <f>pdeReportingDate</f>
        <v>44799</v>
      </c>
      <c r="C54" s="672"/>
      <c r="D54" s="672"/>
      <c r="E54" s="672"/>
      <c r="F54" s="664"/>
      <c r="G54" s="664"/>
      <c r="H54" s="664"/>
      <c r="M54" s="92"/>
    </row>
    <row r="55" spans="1:13" s="41" customFormat="1">
      <c r="A55" s="661"/>
      <c r="B55" s="672"/>
      <c r="C55" s="672"/>
      <c r="D55" s="672"/>
      <c r="E55" s="672"/>
      <c r="F55" s="51"/>
      <c r="G55" s="51"/>
      <c r="H55" s="51"/>
      <c r="M55" s="92"/>
    </row>
    <row r="56" spans="1:13" s="41" customFormat="1">
      <c r="A56" s="662" t="s">
        <v>8</v>
      </c>
      <c r="B56" s="673" t="str">
        <f>authorName</f>
        <v>ЛЮДМИЛА БОНДЖОВА</v>
      </c>
      <c r="C56" s="673"/>
      <c r="D56" s="673"/>
      <c r="E56" s="673"/>
      <c r="F56" s="75"/>
      <c r="G56" s="75"/>
      <c r="H56" s="75"/>
    </row>
    <row r="57" spans="1:13" s="41" customFormat="1">
      <c r="A57" s="662"/>
      <c r="B57" s="673"/>
      <c r="C57" s="673"/>
      <c r="D57" s="673"/>
      <c r="E57" s="673"/>
      <c r="F57" s="75"/>
      <c r="G57" s="75"/>
      <c r="H57" s="75"/>
    </row>
    <row r="58" spans="1:13" s="41" customFormat="1">
      <c r="A58" s="662" t="s">
        <v>894</v>
      </c>
      <c r="B58" s="673"/>
      <c r="C58" s="673"/>
      <c r="D58" s="673"/>
      <c r="E58" s="673"/>
      <c r="F58" s="75"/>
      <c r="G58" s="75"/>
      <c r="H58" s="75"/>
    </row>
    <row r="59" spans="1:13" s="182" customFormat="1">
      <c r="A59" s="663"/>
      <c r="B59" s="675" t="str">
        <f>+Начална!B17</f>
        <v>ОГНЯН ДОНЕВ</v>
      </c>
      <c r="C59" s="671"/>
      <c r="D59" s="671"/>
      <c r="E59" s="671"/>
      <c r="F59" s="543"/>
      <c r="G59" s="44"/>
      <c r="H59" s="41"/>
    </row>
    <row r="60" spans="1:13">
      <c r="A60" s="663"/>
      <c r="B60" s="671"/>
      <c r="C60" s="671"/>
      <c r="D60" s="671"/>
      <c r="E60" s="671"/>
      <c r="F60" s="543"/>
      <c r="G60" s="44"/>
      <c r="H60" s="41"/>
    </row>
    <row r="61" spans="1:13">
      <c r="A61" s="663"/>
      <c r="B61" s="671"/>
      <c r="C61" s="671"/>
      <c r="D61" s="671"/>
      <c r="E61" s="671"/>
      <c r="F61" s="543"/>
      <c r="G61" s="44"/>
      <c r="H61" s="41"/>
    </row>
    <row r="62" spans="1:13">
      <c r="A62" s="663"/>
      <c r="B62" s="671"/>
      <c r="C62" s="671"/>
      <c r="D62" s="671"/>
      <c r="E62" s="671"/>
      <c r="F62" s="543"/>
      <c r="G62" s="44"/>
      <c r="H62" s="41"/>
    </row>
    <row r="63" spans="1:13">
      <c r="A63" s="663"/>
      <c r="B63" s="671"/>
      <c r="C63" s="671"/>
      <c r="D63" s="671"/>
      <c r="E63" s="671"/>
      <c r="F63" s="543"/>
      <c r="G63" s="44"/>
      <c r="H63" s="41"/>
    </row>
    <row r="64" spans="1:13">
      <c r="A64" s="663"/>
      <c r="B64" s="671"/>
      <c r="C64" s="671"/>
      <c r="D64" s="671"/>
      <c r="E64" s="671"/>
      <c r="F64" s="543"/>
      <c r="G64" s="44"/>
      <c r="H64" s="41"/>
    </row>
    <row r="65" spans="1:8">
      <c r="A65" s="663"/>
      <c r="B65" s="671"/>
      <c r="C65" s="671"/>
      <c r="D65" s="671"/>
      <c r="E65" s="671"/>
      <c r="F65" s="543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customSheetViews>
    <customSheetView guid="{3239EBCD-0009-49F8-9CD4-7149DE51B97F}" scale="70" topLeftCell="A22">
      <selection activeCell="B55" sqref="B55:E55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verticalDpi="300" r:id="rId1"/>
      <headerFooter alignWithMargins="0"/>
    </customSheetView>
    <customSheetView guid="{23BEE295-D922-43C3-8F5E-52A6C7961032}">
      <selection activeCell="A6" sqref="A6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verticalDpi="300" r:id="rId2"/>
      <headerFooter alignWithMargins="0"/>
    </customSheetView>
    <customSheetView guid="{D5A9973C-5346-486A-9057-6F44650CE612}"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r:id="rId3"/>
      <headerFooter alignWithMargins="0"/>
    </customSheetView>
  </customSheetViews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535"/>
  <sheetViews>
    <sheetView topLeftCell="A11" workbookViewId="0">
      <selection activeCell="P19" sqref="P19"/>
    </sheetView>
  </sheetViews>
  <sheetFormatPr defaultColWidth="9.28515625" defaultRowHeight="15.75"/>
  <cols>
    <col min="1" max="1" width="50.7109375" style="531" customWidth="1"/>
    <col min="2" max="2" width="10.7109375" style="53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30.06.2022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5">
      <c r="A8" s="682" t="s">
        <v>453</v>
      </c>
      <c r="B8" s="685" t="s">
        <v>454</v>
      </c>
      <c r="C8" s="678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78" t="s">
        <v>460</v>
      </c>
      <c r="L8" s="678" t="s">
        <v>461</v>
      </c>
      <c r="M8" s="500"/>
      <c r="N8" s="501"/>
    </row>
    <row r="9" spans="1:14" s="502" customFormat="1" ht="31.5">
      <c r="A9" s="683"/>
      <c r="B9" s="686"/>
      <c r="C9" s="679"/>
      <c r="D9" s="681" t="s">
        <v>802</v>
      </c>
      <c r="E9" s="681" t="s">
        <v>456</v>
      </c>
      <c r="F9" s="504" t="s">
        <v>457</v>
      </c>
      <c r="G9" s="504"/>
      <c r="H9" s="504"/>
      <c r="I9" s="688" t="s">
        <v>458</v>
      </c>
      <c r="J9" s="688" t="s">
        <v>459</v>
      </c>
      <c r="K9" s="679"/>
      <c r="L9" s="679"/>
      <c r="M9" s="505" t="s">
        <v>801</v>
      </c>
      <c r="N9" s="501"/>
    </row>
    <row r="10" spans="1:14" s="502" customFormat="1" ht="31.5">
      <c r="A10" s="684"/>
      <c r="B10" s="687"/>
      <c r="C10" s="680"/>
      <c r="D10" s="681"/>
      <c r="E10" s="681"/>
      <c r="F10" s="503" t="s">
        <v>462</v>
      </c>
      <c r="G10" s="503" t="s">
        <v>463</v>
      </c>
      <c r="H10" s="503" t="s">
        <v>464</v>
      </c>
      <c r="I10" s="680"/>
      <c r="J10" s="680"/>
      <c r="K10" s="680"/>
      <c r="L10" s="680"/>
      <c r="M10" s="506"/>
      <c r="N10" s="501"/>
    </row>
    <row r="11" spans="1:14" s="502" customFormat="1" ht="16.5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3">
        <f>'1-Баланс'!H18</f>
        <v>84514</v>
      </c>
      <c r="D13" s="553">
        <f>'1-Баланс'!H20</f>
        <v>0</v>
      </c>
      <c r="E13" s="553">
        <f>'1-Баланс'!H21</f>
        <v>39114</v>
      </c>
      <c r="F13" s="553">
        <f>'1-Баланс'!H23</f>
        <v>66201</v>
      </c>
      <c r="G13" s="553">
        <f>'1-Баланс'!H24</f>
        <v>0</v>
      </c>
      <c r="H13" s="554">
        <v>12512</v>
      </c>
      <c r="I13" s="553">
        <f>'1-Баланс'!H29+'1-Баланс'!H32</f>
        <v>444634</v>
      </c>
      <c r="J13" s="553">
        <f>'1-Баланс'!H30+'1-Баланс'!H33</f>
        <v>0</v>
      </c>
      <c r="K13" s="554"/>
      <c r="L13" s="553">
        <f>SUM(C13:K13)</f>
        <v>646975</v>
      </c>
      <c r="M13" s="555">
        <f>'1-Баланс'!H40</f>
        <v>11893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9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3">
        <f t="shared" si="1"/>
        <v>0</v>
      </c>
      <c r="M15" s="308"/>
      <c r="N15" s="160"/>
    </row>
    <row r="16" spans="1:14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3">
        <f t="shared" si="1"/>
        <v>0</v>
      </c>
      <c r="M16" s="308"/>
      <c r="N16" s="160"/>
    </row>
    <row r="17" spans="1:14" ht="31.5">
      <c r="A17" s="516" t="s">
        <v>475</v>
      </c>
      <c r="B17" s="517" t="s">
        <v>476</v>
      </c>
      <c r="C17" s="622">
        <f>C13+C14</f>
        <v>84514</v>
      </c>
      <c r="D17" s="622">
        <f t="shared" ref="D17:M17" si="2">D13+D14</f>
        <v>0</v>
      </c>
      <c r="E17" s="622">
        <f t="shared" si="2"/>
        <v>39114</v>
      </c>
      <c r="F17" s="622">
        <f t="shared" si="2"/>
        <v>66201</v>
      </c>
      <c r="G17" s="622">
        <f t="shared" si="2"/>
        <v>0</v>
      </c>
      <c r="H17" s="622">
        <f t="shared" si="2"/>
        <v>12512</v>
      </c>
      <c r="I17" s="622">
        <f t="shared" si="2"/>
        <v>444634</v>
      </c>
      <c r="J17" s="622">
        <f t="shared" si="2"/>
        <v>0</v>
      </c>
      <c r="K17" s="622">
        <f t="shared" si="2"/>
        <v>0</v>
      </c>
      <c r="L17" s="553">
        <f t="shared" si="1"/>
        <v>646975</v>
      </c>
      <c r="M17" s="623">
        <f t="shared" si="2"/>
        <v>11893</v>
      </c>
      <c r="N17" s="160"/>
    </row>
    <row r="18" spans="1:14">
      <c r="A18" s="516" t="s">
        <v>477</v>
      </c>
      <c r="B18" s="517" t="s">
        <v>478</v>
      </c>
      <c r="C18" s="624"/>
      <c r="D18" s="624"/>
      <c r="E18" s="624"/>
      <c r="F18" s="624"/>
      <c r="G18" s="624"/>
      <c r="H18" s="624"/>
      <c r="I18" s="553">
        <f>+'1-Баланс'!G32</f>
        <v>43365</v>
      </c>
      <c r="J18" s="553">
        <f>+'1-Баланс'!G33</f>
        <v>0</v>
      </c>
      <c r="K18" s="554"/>
      <c r="L18" s="553">
        <f t="shared" si="1"/>
        <v>43365</v>
      </c>
      <c r="M18" s="607">
        <v>2905</v>
      </c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2427</v>
      </c>
      <c r="G19" s="159">
        <f t="shared" si="3"/>
        <v>0</v>
      </c>
      <c r="H19" s="159">
        <f t="shared" si="3"/>
        <v>0</v>
      </c>
      <c r="I19" s="159">
        <f t="shared" si="3"/>
        <v>-2427</v>
      </c>
      <c r="J19" s="159">
        <f>J20+J21</f>
        <v>0</v>
      </c>
      <c r="K19" s="159">
        <f t="shared" si="3"/>
        <v>0</v>
      </c>
      <c r="L19" s="553">
        <f t="shared" si="1"/>
        <v>0</v>
      </c>
      <c r="M19" s="306">
        <f>M20+M21</f>
        <v>0</v>
      </c>
      <c r="N19" s="160"/>
    </row>
    <row r="20" spans="1:14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/>
      <c r="J20" s="307"/>
      <c r="K20" s="307"/>
      <c r="L20" s="553">
        <f>SUM(C20:K20)</f>
        <v>0</v>
      </c>
      <c r="M20" s="308"/>
      <c r="N20" s="160"/>
    </row>
    <row r="21" spans="1:14">
      <c r="A21" s="520" t="s">
        <v>483</v>
      </c>
      <c r="B21" s="521" t="s">
        <v>484</v>
      </c>
      <c r="C21" s="307"/>
      <c r="D21" s="307"/>
      <c r="E21" s="307"/>
      <c r="F21" s="307">
        <v>2427</v>
      </c>
      <c r="G21" s="307"/>
      <c r="H21" s="307"/>
      <c r="I21" s="307">
        <v>-2427</v>
      </c>
      <c r="J21" s="307"/>
      <c r="K21" s="307"/>
      <c r="L21" s="553">
        <f t="shared" si="1"/>
        <v>0</v>
      </c>
      <c r="M21" s="308"/>
      <c r="N21" s="160"/>
    </row>
    <row r="22" spans="1:14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3">
        <f t="shared" si="1"/>
        <v>0</v>
      </c>
      <c r="M22" s="308"/>
      <c r="N22" s="160"/>
    </row>
    <row r="23" spans="1:14" ht="31.5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3">
        <f t="shared" si="1"/>
        <v>0</v>
      </c>
      <c r="M23" s="306">
        <f t="shared" si="4"/>
        <v>0</v>
      </c>
      <c r="N23" s="160"/>
    </row>
    <row r="24" spans="1:14">
      <c r="A24" s="518" t="s">
        <v>489</v>
      </c>
      <c r="B24" s="519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53">
        <f t="shared" si="1"/>
        <v>0</v>
      </c>
      <c r="M24" s="308"/>
      <c r="N24" s="160"/>
    </row>
    <row r="25" spans="1:14">
      <c r="A25" s="518" t="s">
        <v>491</v>
      </c>
      <c r="B25" s="519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53">
        <f t="shared" si="1"/>
        <v>0</v>
      </c>
      <c r="M25" s="308"/>
      <c r="N25" s="160"/>
    </row>
    <row r="26" spans="1:14" ht="31.5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-419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3">
        <f t="shared" si="1"/>
        <v>-419</v>
      </c>
      <c r="M26" s="306">
        <f t="shared" si="5"/>
        <v>0</v>
      </c>
      <c r="N26" s="160"/>
    </row>
    <row r="27" spans="1:14">
      <c r="A27" s="518" t="s">
        <v>489</v>
      </c>
      <c r="B27" s="519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53">
        <f t="shared" si="1"/>
        <v>0</v>
      </c>
      <c r="M27" s="308"/>
      <c r="N27" s="160"/>
    </row>
    <row r="28" spans="1:14">
      <c r="A28" s="518" t="s">
        <v>491</v>
      </c>
      <c r="B28" s="519" t="s">
        <v>496</v>
      </c>
      <c r="C28" s="307"/>
      <c r="D28" s="307"/>
      <c r="E28" s="307">
        <v>419</v>
      </c>
      <c r="F28" s="307"/>
      <c r="G28" s="307"/>
      <c r="H28" s="307"/>
      <c r="I28" s="307"/>
      <c r="J28" s="307"/>
      <c r="K28" s="307"/>
      <c r="L28" s="553">
        <f t="shared" si="1"/>
        <v>419</v>
      </c>
      <c r="M28" s="308"/>
      <c r="N28" s="160"/>
    </row>
    <row r="29" spans="1:14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3">
        <f t="shared" si="1"/>
        <v>0</v>
      </c>
      <c r="M29" s="308"/>
      <c r="N29" s="160"/>
    </row>
    <row r="30" spans="1:14">
      <c r="A30" s="518" t="s">
        <v>499</v>
      </c>
      <c r="B30" s="519" t="s">
        <v>500</v>
      </c>
      <c r="C30" s="307">
        <v>-1918</v>
      </c>
      <c r="D30" s="307"/>
      <c r="E30" s="307">
        <v>-98</v>
      </c>
      <c r="F30" s="307"/>
      <c r="G30" s="307"/>
      <c r="H30" s="307"/>
      <c r="I30" s="307">
        <v>-958</v>
      </c>
      <c r="J30" s="307"/>
      <c r="K30" s="307"/>
      <c r="L30" s="553">
        <f t="shared" si="1"/>
        <v>-2974</v>
      </c>
      <c r="M30" s="308">
        <v>-1906</v>
      </c>
      <c r="N30" s="160"/>
    </row>
    <row r="31" spans="1:14">
      <c r="A31" s="516" t="s">
        <v>501</v>
      </c>
      <c r="B31" s="517" t="s">
        <v>502</v>
      </c>
      <c r="C31" s="622">
        <f>C19+C22+C23+C26+C30+C29+C17+C18</f>
        <v>82596</v>
      </c>
      <c r="D31" s="622">
        <f t="shared" ref="D31:M31" si="6">D19+D22+D23+D26+D30+D29+D17+D18</f>
        <v>0</v>
      </c>
      <c r="E31" s="622">
        <f t="shared" si="6"/>
        <v>38597</v>
      </c>
      <c r="F31" s="622">
        <f t="shared" si="6"/>
        <v>68628</v>
      </c>
      <c r="G31" s="622">
        <f t="shared" si="6"/>
        <v>0</v>
      </c>
      <c r="H31" s="622">
        <f t="shared" si="6"/>
        <v>12512</v>
      </c>
      <c r="I31" s="622">
        <f t="shared" si="6"/>
        <v>484614</v>
      </c>
      <c r="J31" s="622">
        <f t="shared" si="6"/>
        <v>0</v>
      </c>
      <c r="K31" s="622">
        <f t="shared" si="6"/>
        <v>0</v>
      </c>
      <c r="L31" s="553">
        <f t="shared" si="1"/>
        <v>686947</v>
      </c>
      <c r="M31" s="623">
        <f t="shared" si="6"/>
        <v>12892</v>
      </c>
      <c r="N31" s="157"/>
    </row>
    <row r="32" spans="1:14" ht="31.5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53">
        <f t="shared" si="1"/>
        <v>0</v>
      </c>
      <c r="M32" s="308"/>
      <c r="N32" s="160"/>
    </row>
    <row r="33" spans="1:14" ht="32.25" thickBot="1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21">
        <f t="shared" si="1"/>
        <v>0</v>
      </c>
      <c r="M33" s="310"/>
      <c r="N33" s="160"/>
    </row>
    <row r="34" spans="1:14" ht="32.25" thickBot="1">
      <c r="A34" s="524" t="s">
        <v>507</v>
      </c>
      <c r="B34" s="525" t="s">
        <v>508</v>
      </c>
      <c r="C34" s="556">
        <f t="shared" ref="C34:K34" si="7">C31+C32+C33</f>
        <v>82596</v>
      </c>
      <c r="D34" s="556">
        <f t="shared" si="7"/>
        <v>0</v>
      </c>
      <c r="E34" s="556">
        <f t="shared" si="7"/>
        <v>38597</v>
      </c>
      <c r="F34" s="556">
        <f t="shared" si="7"/>
        <v>68628</v>
      </c>
      <c r="G34" s="556">
        <f t="shared" si="7"/>
        <v>0</v>
      </c>
      <c r="H34" s="556">
        <f t="shared" si="7"/>
        <v>12512</v>
      </c>
      <c r="I34" s="556">
        <f t="shared" si="7"/>
        <v>484614</v>
      </c>
      <c r="J34" s="556">
        <f t="shared" si="7"/>
        <v>0</v>
      </c>
      <c r="K34" s="556">
        <f t="shared" si="7"/>
        <v>0</v>
      </c>
      <c r="L34" s="620">
        <f t="shared" si="1"/>
        <v>686947</v>
      </c>
      <c r="M34" s="557">
        <f>M31+M32+M33</f>
        <v>12892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61" t="s">
        <v>949</v>
      </c>
      <c r="B38" s="672">
        <f>pdeReportingDate</f>
        <v>44799</v>
      </c>
      <c r="C38" s="672"/>
      <c r="D38" s="672"/>
      <c r="E38" s="672"/>
      <c r="F38" s="672"/>
      <c r="G38" s="672"/>
      <c r="H38" s="672"/>
      <c r="M38" s="160"/>
    </row>
    <row r="39" spans="1:14">
      <c r="A39" s="661"/>
      <c r="B39" s="51"/>
      <c r="C39" s="51"/>
      <c r="D39" s="51"/>
      <c r="E39" s="51"/>
      <c r="F39" s="51"/>
      <c r="G39" s="51"/>
      <c r="H39" s="51"/>
      <c r="M39" s="160"/>
    </row>
    <row r="40" spans="1:14">
      <c r="A40" s="662" t="s">
        <v>8</v>
      </c>
      <c r="B40" s="673" t="str">
        <f>authorName</f>
        <v>ЛЮДМИЛА БОНДЖОВА</v>
      </c>
      <c r="C40" s="673"/>
      <c r="D40" s="673"/>
      <c r="E40" s="673"/>
      <c r="F40" s="673"/>
      <c r="G40" s="673"/>
      <c r="H40" s="673"/>
      <c r="M40" s="160"/>
    </row>
    <row r="41" spans="1:14">
      <c r="A41" s="662"/>
      <c r="B41" s="75"/>
      <c r="C41" s="75"/>
      <c r="D41" s="75"/>
      <c r="E41" s="75"/>
      <c r="F41" s="75"/>
      <c r="G41" s="75"/>
      <c r="H41" s="75"/>
      <c r="M41" s="160"/>
    </row>
    <row r="42" spans="1:14">
      <c r="A42" s="662" t="s">
        <v>894</v>
      </c>
      <c r="B42" s="674"/>
      <c r="C42" s="674"/>
      <c r="D42" s="674"/>
      <c r="E42" s="674"/>
      <c r="F42" s="674"/>
      <c r="G42" s="674"/>
      <c r="H42" s="674"/>
      <c r="M42" s="160"/>
    </row>
    <row r="43" spans="1:14">
      <c r="A43" s="663"/>
      <c r="B43" s="675" t="str">
        <f>+Начална!B17</f>
        <v>ОГНЯН ДОНЕВ</v>
      </c>
      <c r="C43" s="671"/>
      <c r="D43" s="671"/>
      <c r="E43" s="671"/>
      <c r="F43" s="543"/>
      <c r="G43" s="44"/>
      <c r="H43" s="41"/>
      <c r="M43" s="160"/>
    </row>
    <row r="44" spans="1:14">
      <c r="A44" s="663"/>
      <c r="B44" s="671"/>
      <c r="C44" s="671"/>
      <c r="D44" s="671"/>
      <c r="E44" s="671"/>
      <c r="F44" s="543"/>
      <c r="G44" s="44"/>
      <c r="H44" s="41"/>
      <c r="M44" s="160"/>
    </row>
    <row r="45" spans="1:14">
      <c r="A45" s="663"/>
      <c r="B45" s="671"/>
      <c r="C45" s="671"/>
      <c r="D45" s="671"/>
      <c r="E45" s="671"/>
      <c r="F45" s="543"/>
      <c r="G45" s="44"/>
      <c r="H45" s="41"/>
      <c r="M45" s="160"/>
    </row>
    <row r="46" spans="1:14">
      <c r="A46" s="663"/>
      <c r="B46" s="671"/>
      <c r="C46" s="671"/>
      <c r="D46" s="671"/>
      <c r="E46" s="671"/>
      <c r="F46" s="543"/>
      <c r="G46" s="44"/>
      <c r="H46" s="41"/>
      <c r="M46" s="160"/>
    </row>
    <row r="47" spans="1:14">
      <c r="A47" s="663"/>
      <c r="B47" s="671"/>
      <c r="C47" s="671"/>
      <c r="D47" s="671"/>
      <c r="E47" s="671"/>
      <c r="F47" s="543"/>
      <c r="G47" s="44"/>
      <c r="H47" s="41"/>
      <c r="M47" s="160"/>
    </row>
    <row r="48" spans="1:14">
      <c r="A48" s="663"/>
      <c r="B48" s="671"/>
      <c r="C48" s="671"/>
      <c r="D48" s="671"/>
      <c r="E48" s="671"/>
      <c r="F48" s="543"/>
      <c r="G48" s="44"/>
      <c r="H48" s="41"/>
      <c r="M48" s="160"/>
    </row>
    <row r="49" spans="1:13">
      <c r="A49" s="663"/>
      <c r="B49" s="671"/>
      <c r="C49" s="671"/>
      <c r="D49" s="671"/>
      <c r="E49" s="671"/>
      <c r="F49" s="543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customSheetViews>
    <customSheetView guid="{3239EBCD-0009-49F8-9CD4-7149DE51B97F}" scale="80" showPageBreaks="1" fitToPage="1" printArea="1" view="pageBreakPreview" topLeftCell="A16">
      <selection activeCell="M30" sqref="M30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verticalDpi="300" r:id="rId1"/>
      <headerFooter alignWithMargins="0"/>
    </customSheetView>
    <customSheetView guid="{23BEE295-D922-43C3-8F5E-52A6C7961032}" fitToPage="1"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verticalDpi="300" r:id="rId2"/>
      <headerFooter alignWithMargins="0"/>
    </customSheetView>
    <customSheetView guid="{D5A9973C-5346-486A-9057-6F44650CE612}" fitToPage="1"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r:id="rId3"/>
      <headerFooter alignWithMargins="0"/>
    </customSheetView>
  </customSheetViews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233"/>
  <sheetViews>
    <sheetView topLeftCell="A16" workbookViewId="0">
      <selection activeCell="K41" sqref="K41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30.06.2022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693" t="s">
        <v>453</v>
      </c>
      <c r="B7" s="694"/>
      <c r="C7" s="697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689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689" t="s">
        <v>513</v>
      </c>
      <c r="R7" s="691" t="s">
        <v>514</v>
      </c>
    </row>
    <row r="8" spans="1:18" s="119" customFormat="1" ht="66.75" customHeight="1">
      <c r="A8" s="695"/>
      <c r="B8" s="696"/>
      <c r="C8" s="698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90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90"/>
      <c r="R8" s="692"/>
    </row>
    <row r="9" spans="1:18" s="119" customFormat="1" ht="16.5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8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8">
      <c r="A11" s="330" t="s">
        <v>521</v>
      </c>
      <c r="B11" s="312" t="s">
        <v>522</v>
      </c>
      <c r="C11" s="143" t="s">
        <v>523</v>
      </c>
      <c r="D11" s="319">
        <v>60907</v>
      </c>
      <c r="E11" s="319">
        <v>9</v>
      </c>
      <c r="F11" s="319"/>
      <c r="G11" s="320">
        <f>D11+E11-F11</f>
        <v>60916</v>
      </c>
      <c r="H11" s="319"/>
      <c r="I11" s="319"/>
      <c r="J11" s="320">
        <f>G11+H11-I11</f>
        <v>60916</v>
      </c>
      <c r="K11" s="319">
        <v>3</v>
      </c>
      <c r="L11" s="319">
        <v>1</v>
      </c>
      <c r="M11" s="319"/>
      <c r="N11" s="320">
        <f>K11+L11-M11</f>
        <v>4</v>
      </c>
      <c r="O11" s="319"/>
      <c r="P11" s="319"/>
      <c r="Q11" s="320">
        <f t="shared" ref="Q11:Q27" si="0">N11+O11-P11</f>
        <v>4</v>
      </c>
      <c r="R11" s="331">
        <f t="shared" ref="R11:R27" si="1">J11-Q11</f>
        <v>60912</v>
      </c>
    </row>
    <row r="12" spans="1:18">
      <c r="A12" s="330" t="s">
        <v>524</v>
      </c>
      <c r="B12" s="312" t="s">
        <v>525</v>
      </c>
      <c r="C12" s="143" t="s">
        <v>526</v>
      </c>
      <c r="D12" s="319">
        <v>244851</v>
      </c>
      <c r="E12" s="319">
        <v>7545</v>
      </c>
      <c r="F12" s="319">
        <v>2235</v>
      </c>
      <c r="G12" s="320">
        <f t="shared" ref="G12:G41" si="2">D12+E12-F12</f>
        <v>250161</v>
      </c>
      <c r="H12" s="319"/>
      <c r="I12" s="319"/>
      <c r="J12" s="320">
        <f t="shared" ref="J12:J41" si="3">G12+H12-I12</f>
        <v>250161</v>
      </c>
      <c r="K12" s="319">
        <v>78716</v>
      </c>
      <c r="L12" s="319">
        <v>10132</v>
      </c>
      <c r="M12" s="319">
        <v>1409</v>
      </c>
      <c r="N12" s="320">
        <f t="shared" ref="N12:N41" si="4">K12+L12-M12</f>
        <v>87439</v>
      </c>
      <c r="O12" s="319"/>
      <c r="P12" s="319"/>
      <c r="Q12" s="320">
        <f t="shared" si="0"/>
        <v>87439</v>
      </c>
      <c r="R12" s="331">
        <f t="shared" si="1"/>
        <v>162722</v>
      </c>
    </row>
    <row r="13" spans="1:18">
      <c r="A13" s="330" t="s">
        <v>527</v>
      </c>
      <c r="B13" s="312" t="s">
        <v>528</v>
      </c>
      <c r="C13" s="143" t="s">
        <v>529</v>
      </c>
      <c r="D13" s="319">
        <v>247035</v>
      </c>
      <c r="E13" s="319">
        <v>1668</v>
      </c>
      <c r="F13" s="319">
        <v>392</v>
      </c>
      <c r="G13" s="320">
        <f t="shared" si="2"/>
        <v>248311</v>
      </c>
      <c r="H13" s="319"/>
      <c r="I13" s="319"/>
      <c r="J13" s="320">
        <f t="shared" si="3"/>
        <v>248311</v>
      </c>
      <c r="K13" s="319">
        <v>149853</v>
      </c>
      <c r="L13" s="319">
        <v>6691</v>
      </c>
      <c r="M13" s="319">
        <v>338</v>
      </c>
      <c r="N13" s="320">
        <f t="shared" si="4"/>
        <v>156206</v>
      </c>
      <c r="O13" s="319"/>
      <c r="P13" s="319"/>
      <c r="Q13" s="320">
        <f t="shared" si="0"/>
        <v>156206</v>
      </c>
      <c r="R13" s="331">
        <f t="shared" si="1"/>
        <v>92105</v>
      </c>
    </row>
    <row r="14" spans="1:18">
      <c r="A14" s="330" t="s">
        <v>530</v>
      </c>
      <c r="B14" s="312" t="s">
        <v>531</v>
      </c>
      <c r="C14" s="143" t="s">
        <v>532</v>
      </c>
      <c r="D14" s="319">
        <v>22736</v>
      </c>
      <c r="E14" s="319">
        <v>62</v>
      </c>
      <c r="F14" s="319">
        <v>34</v>
      </c>
      <c r="G14" s="320">
        <f t="shared" si="2"/>
        <v>22764</v>
      </c>
      <c r="H14" s="319"/>
      <c r="I14" s="319"/>
      <c r="J14" s="320">
        <f t="shared" si="3"/>
        <v>22764</v>
      </c>
      <c r="K14" s="319">
        <v>10495</v>
      </c>
      <c r="L14" s="319">
        <v>823</v>
      </c>
      <c r="M14" s="319">
        <v>34</v>
      </c>
      <c r="N14" s="320">
        <f t="shared" si="4"/>
        <v>11284</v>
      </c>
      <c r="O14" s="319"/>
      <c r="P14" s="319"/>
      <c r="Q14" s="320">
        <f t="shared" si="0"/>
        <v>11284</v>
      </c>
      <c r="R14" s="331">
        <f t="shared" si="1"/>
        <v>11480</v>
      </c>
    </row>
    <row r="15" spans="1:18">
      <c r="A15" s="330" t="s">
        <v>533</v>
      </c>
      <c r="B15" s="312" t="s">
        <v>534</v>
      </c>
      <c r="C15" s="143" t="s">
        <v>535</v>
      </c>
      <c r="D15" s="319">
        <v>22368</v>
      </c>
      <c r="E15" s="319">
        <v>1912</v>
      </c>
      <c r="F15" s="319">
        <v>518</v>
      </c>
      <c r="G15" s="320">
        <f t="shared" si="2"/>
        <v>23762</v>
      </c>
      <c r="H15" s="319"/>
      <c r="I15" s="319"/>
      <c r="J15" s="320">
        <f t="shared" si="3"/>
        <v>23762</v>
      </c>
      <c r="K15" s="319">
        <v>12150</v>
      </c>
      <c r="L15" s="319">
        <v>1887</v>
      </c>
      <c r="M15" s="319">
        <v>561</v>
      </c>
      <c r="N15" s="320">
        <f t="shared" si="4"/>
        <v>13476</v>
      </c>
      <c r="O15" s="319"/>
      <c r="P15" s="319"/>
      <c r="Q15" s="320">
        <f t="shared" si="0"/>
        <v>13476</v>
      </c>
      <c r="R15" s="331">
        <f t="shared" si="1"/>
        <v>10286</v>
      </c>
    </row>
    <row r="16" spans="1:18">
      <c r="A16" s="352" t="s">
        <v>814</v>
      </c>
      <c r="B16" s="312" t="s">
        <v>536</v>
      </c>
      <c r="C16" s="143" t="s">
        <v>537</v>
      </c>
      <c r="D16" s="319">
        <v>27888</v>
      </c>
      <c r="E16" s="319">
        <v>988</v>
      </c>
      <c r="F16" s="319">
        <v>446</v>
      </c>
      <c r="G16" s="320">
        <f t="shared" si="2"/>
        <v>28430</v>
      </c>
      <c r="H16" s="319"/>
      <c r="I16" s="319"/>
      <c r="J16" s="320">
        <f t="shared" si="3"/>
        <v>28430</v>
      </c>
      <c r="K16" s="319">
        <v>17707</v>
      </c>
      <c r="L16" s="319">
        <v>1407</v>
      </c>
      <c r="M16" s="319">
        <v>365</v>
      </c>
      <c r="N16" s="320">
        <f t="shared" si="4"/>
        <v>18749</v>
      </c>
      <c r="O16" s="319"/>
      <c r="P16" s="319"/>
      <c r="Q16" s="320">
        <f t="shared" si="0"/>
        <v>18749</v>
      </c>
      <c r="R16" s="331">
        <f t="shared" si="1"/>
        <v>9681</v>
      </c>
    </row>
    <row r="17" spans="1:18" s="145" customFormat="1" ht="31.5">
      <c r="A17" s="330" t="s">
        <v>538</v>
      </c>
      <c r="B17" s="146" t="s">
        <v>539</v>
      </c>
      <c r="C17" s="144" t="s">
        <v>540</v>
      </c>
      <c r="D17" s="319">
        <v>4798</v>
      </c>
      <c r="E17" s="319">
        <v>7252</v>
      </c>
      <c r="F17" s="319">
        <v>1415</v>
      </c>
      <c r="G17" s="320">
        <f t="shared" si="2"/>
        <v>10635</v>
      </c>
      <c r="H17" s="319"/>
      <c r="I17" s="319"/>
      <c r="J17" s="320">
        <f t="shared" si="3"/>
        <v>10635</v>
      </c>
      <c r="K17" s="319">
        <v>0</v>
      </c>
      <c r="L17" s="319"/>
      <c r="M17" s="319"/>
      <c r="N17" s="320">
        <f t="shared" si="4"/>
        <v>0</v>
      </c>
      <c r="O17" s="319"/>
      <c r="P17" s="319"/>
      <c r="Q17" s="320">
        <f t="shared" si="0"/>
        <v>0</v>
      </c>
      <c r="R17" s="331">
        <f t="shared" si="1"/>
        <v>10635</v>
      </c>
    </row>
    <row r="18" spans="1:18">
      <c r="A18" s="330" t="s">
        <v>541</v>
      </c>
      <c r="B18" s="146" t="s">
        <v>542</v>
      </c>
      <c r="C18" s="143" t="s">
        <v>543</v>
      </c>
      <c r="D18" s="319">
        <v>494</v>
      </c>
      <c r="E18" s="319"/>
      <c r="F18" s="319">
        <v>494</v>
      </c>
      <c r="G18" s="320">
        <f t="shared" si="2"/>
        <v>0</v>
      </c>
      <c r="H18" s="319"/>
      <c r="I18" s="319"/>
      <c r="J18" s="320">
        <f t="shared" si="3"/>
        <v>0</v>
      </c>
      <c r="K18" s="319">
        <v>221</v>
      </c>
      <c r="L18" s="319"/>
      <c r="M18" s="319">
        <v>221</v>
      </c>
      <c r="N18" s="320">
        <f t="shared" si="4"/>
        <v>0</v>
      </c>
      <c r="O18" s="319"/>
      <c r="P18" s="319"/>
      <c r="Q18" s="320">
        <f t="shared" si="0"/>
        <v>0</v>
      </c>
      <c r="R18" s="331">
        <f t="shared" si="1"/>
        <v>0</v>
      </c>
    </row>
    <row r="19" spans="1:18">
      <c r="A19" s="330"/>
      <c r="B19" s="313" t="s">
        <v>544</v>
      </c>
      <c r="C19" s="147" t="s">
        <v>545</v>
      </c>
      <c r="D19" s="321">
        <f>SUM(D11:D18)</f>
        <v>631077</v>
      </c>
      <c r="E19" s="321">
        <f>SUM(E11:E18)</f>
        <v>19436</v>
      </c>
      <c r="F19" s="321">
        <f>SUM(F11:F18)</f>
        <v>5534</v>
      </c>
      <c r="G19" s="320">
        <f t="shared" si="2"/>
        <v>644979</v>
      </c>
      <c r="H19" s="321">
        <f>SUM(H11:H18)</f>
        <v>0</v>
      </c>
      <c r="I19" s="321">
        <f>SUM(I11:I18)</f>
        <v>0</v>
      </c>
      <c r="J19" s="320">
        <f t="shared" si="3"/>
        <v>644979</v>
      </c>
      <c r="K19" s="321">
        <f>SUM(K11:K18)</f>
        <v>269145</v>
      </c>
      <c r="L19" s="321">
        <f>SUM(L11:L18)</f>
        <v>20941</v>
      </c>
      <c r="M19" s="321">
        <f>SUM(M11:M18)</f>
        <v>2928</v>
      </c>
      <c r="N19" s="320">
        <f t="shared" si="4"/>
        <v>287158</v>
      </c>
      <c r="O19" s="321">
        <f>SUM(O11:O18)</f>
        <v>0</v>
      </c>
      <c r="P19" s="321">
        <f>SUM(P11:P18)</f>
        <v>0</v>
      </c>
      <c r="Q19" s="320">
        <f t="shared" si="0"/>
        <v>287158</v>
      </c>
      <c r="R19" s="331">
        <f t="shared" si="1"/>
        <v>357821</v>
      </c>
    </row>
    <row r="20" spans="1:18">
      <c r="A20" s="332" t="s">
        <v>816</v>
      </c>
      <c r="B20" s="314" t="s">
        <v>546</v>
      </c>
      <c r="C20" s="147" t="s">
        <v>547</v>
      </c>
      <c r="D20" s="319">
        <v>9446</v>
      </c>
      <c r="E20" s="319"/>
      <c r="F20" s="319"/>
      <c r="G20" s="320">
        <f t="shared" si="2"/>
        <v>9446</v>
      </c>
      <c r="H20" s="319"/>
      <c r="I20" s="319"/>
      <c r="J20" s="320">
        <f t="shared" si="3"/>
        <v>9446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9446</v>
      </c>
    </row>
    <row r="21" spans="1:18">
      <c r="A21" s="329" t="s">
        <v>805</v>
      </c>
      <c r="B21" s="314" t="s">
        <v>548</v>
      </c>
      <c r="C21" s="147" t="s">
        <v>549</v>
      </c>
      <c r="D21" s="319">
        <v>521</v>
      </c>
      <c r="E21" s="319"/>
      <c r="F21" s="319"/>
      <c r="G21" s="320">
        <f t="shared" si="2"/>
        <v>521</v>
      </c>
      <c r="H21" s="319"/>
      <c r="I21" s="319"/>
      <c r="J21" s="320">
        <f t="shared" si="3"/>
        <v>521</v>
      </c>
      <c r="K21" s="319">
        <v>60</v>
      </c>
      <c r="L21" s="319">
        <v>21</v>
      </c>
      <c r="M21" s="319"/>
      <c r="N21" s="320">
        <f t="shared" si="4"/>
        <v>81</v>
      </c>
      <c r="O21" s="319"/>
      <c r="P21" s="319"/>
      <c r="Q21" s="320">
        <f t="shared" si="0"/>
        <v>81</v>
      </c>
      <c r="R21" s="331">
        <f t="shared" si="1"/>
        <v>440</v>
      </c>
    </row>
    <row r="22" spans="1:18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8">
      <c r="A23" s="330" t="s">
        <v>521</v>
      </c>
      <c r="B23" s="312" t="s">
        <v>552</v>
      </c>
      <c r="C23" s="143" t="s">
        <v>553</v>
      </c>
      <c r="D23" s="319">
        <v>61638</v>
      </c>
      <c r="E23" s="319">
        <v>23</v>
      </c>
      <c r="F23" s="319">
        <v>30</v>
      </c>
      <c r="G23" s="320">
        <f t="shared" si="2"/>
        <v>61631</v>
      </c>
      <c r="H23" s="319"/>
      <c r="I23" s="319"/>
      <c r="J23" s="320">
        <f t="shared" si="3"/>
        <v>61631</v>
      </c>
      <c r="K23" s="319">
        <v>27622</v>
      </c>
      <c r="L23" s="319">
        <v>3263</v>
      </c>
      <c r="M23" s="319">
        <v>2</v>
      </c>
      <c r="N23" s="320">
        <f t="shared" si="4"/>
        <v>30883</v>
      </c>
      <c r="O23" s="319"/>
      <c r="P23" s="319"/>
      <c r="Q23" s="320">
        <f t="shared" si="0"/>
        <v>30883</v>
      </c>
      <c r="R23" s="331">
        <f t="shared" si="1"/>
        <v>30748</v>
      </c>
    </row>
    <row r="24" spans="1:18">
      <c r="A24" s="330" t="s">
        <v>524</v>
      </c>
      <c r="B24" s="312" t="s">
        <v>554</v>
      </c>
      <c r="C24" s="143" t="s">
        <v>555</v>
      </c>
      <c r="D24" s="319">
        <v>33265</v>
      </c>
      <c r="E24" s="319">
        <v>2136</v>
      </c>
      <c r="F24" s="319">
        <v>3</v>
      </c>
      <c r="G24" s="320">
        <f t="shared" si="2"/>
        <v>35398</v>
      </c>
      <c r="H24" s="319"/>
      <c r="I24" s="319"/>
      <c r="J24" s="320">
        <f t="shared" si="3"/>
        <v>35398</v>
      </c>
      <c r="K24" s="319">
        <v>15707</v>
      </c>
      <c r="L24" s="319">
        <v>1551</v>
      </c>
      <c r="M24" s="319">
        <v>3</v>
      </c>
      <c r="N24" s="320">
        <f t="shared" si="4"/>
        <v>17255</v>
      </c>
      <c r="O24" s="319"/>
      <c r="P24" s="319"/>
      <c r="Q24" s="320">
        <f t="shared" si="0"/>
        <v>17255</v>
      </c>
      <c r="R24" s="331">
        <f t="shared" si="1"/>
        <v>18143</v>
      </c>
    </row>
    <row r="25" spans="1:18">
      <c r="A25" s="333" t="s">
        <v>527</v>
      </c>
      <c r="B25" s="146" t="s">
        <v>556</v>
      </c>
      <c r="C25" s="143" t="s">
        <v>557</v>
      </c>
      <c r="D25" s="319">
        <v>0</v>
      </c>
      <c r="E25" s="319"/>
      <c r="F25" s="319"/>
      <c r="G25" s="320">
        <f t="shared" si="2"/>
        <v>0</v>
      </c>
      <c r="H25" s="319"/>
      <c r="I25" s="319"/>
      <c r="J25" s="320">
        <f t="shared" si="3"/>
        <v>0</v>
      </c>
      <c r="K25" s="319">
        <v>0</v>
      </c>
      <c r="L25" s="319"/>
      <c r="M25" s="319"/>
      <c r="N25" s="320">
        <f t="shared" si="4"/>
        <v>0</v>
      </c>
      <c r="O25" s="319"/>
      <c r="P25" s="319"/>
      <c r="Q25" s="320">
        <f t="shared" si="0"/>
        <v>0</v>
      </c>
      <c r="R25" s="331">
        <f t="shared" si="1"/>
        <v>0</v>
      </c>
    </row>
    <row r="26" spans="1:18">
      <c r="A26" s="330" t="s">
        <v>530</v>
      </c>
      <c r="B26" s="148" t="s">
        <v>542</v>
      </c>
      <c r="C26" s="143" t="s">
        <v>558</v>
      </c>
      <c r="D26" s="319">
        <v>2847</v>
      </c>
      <c r="E26" s="319">
        <v>356</v>
      </c>
      <c r="F26" s="319">
        <v>1148</v>
      </c>
      <c r="G26" s="320">
        <f t="shared" si="2"/>
        <v>2055</v>
      </c>
      <c r="H26" s="319"/>
      <c r="I26" s="319"/>
      <c r="J26" s="320">
        <f t="shared" si="3"/>
        <v>2055</v>
      </c>
      <c r="K26" s="319">
        <v>0</v>
      </c>
      <c r="L26" s="319"/>
      <c r="M26" s="319"/>
      <c r="N26" s="320">
        <f t="shared" si="4"/>
        <v>0</v>
      </c>
      <c r="O26" s="319"/>
      <c r="P26" s="319"/>
      <c r="Q26" s="320">
        <f t="shared" si="0"/>
        <v>0</v>
      </c>
      <c r="R26" s="331">
        <f t="shared" si="1"/>
        <v>2055</v>
      </c>
    </row>
    <row r="27" spans="1:18">
      <c r="A27" s="330"/>
      <c r="B27" s="313" t="s">
        <v>559</v>
      </c>
      <c r="C27" s="149" t="s">
        <v>560</v>
      </c>
      <c r="D27" s="323">
        <f>SUM(D23:D26)</f>
        <v>97750</v>
      </c>
      <c r="E27" s="323">
        <f t="shared" ref="E27:P27" si="5">SUM(E23:E26)</f>
        <v>2515</v>
      </c>
      <c r="F27" s="323">
        <f t="shared" si="5"/>
        <v>1181</v>
      </c>
      <c r="G27" s="324">
        <f t="shared" si="2"/>
        <v>99084</v>
      </c>
      <c r="H27" s="323">
        <f t="shared" si="5"/>
        <v>0</v>
      </c>
      <c r="I27" s="323">
        <f t="shared" si="5"/>
        <v>0</v>
      </c>
      <c r="J27" s="324">
        <f t="shared" si="3"/>
        <v>99084</v>
      </c>
      <c r="K27" s="323">
        <f t="shared" si="5"/>
        <v>43329</v>
      </c>
      <c r="L27" s="323">
        <f t="shared" si="5"/>
        <v>4814</v>
      </c>
      <c r="M27" s="323">
        <f t="shared" si="5"/>
        <v>5</v>
      </c>
      <c r="N27" s="324">
        <f t="shared" si="4"/>
        <v>48138</v>
      </c>
      <c r="O27" s="323">
        <f t="shared" si="5"/>
        <v>0</v>
      </c>
      <c r="P27" s="323">
        <f t="shared" si="5"/>
        <v>0</v>
      </c>
      <c r="Q27" s="324">
        <f t="shared" si="0"/>
        <v>48138</v>
      </c>
      <c r="R27" s="334">
        <f t="shared" si="1"/>
        <v>50946</v>
      </c>
    </row>
    <row r="28" spans="1:18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8">
      <c r="A29" s="330" t="s">
        <v>521</v>
      </c>
      <c r="B29" s="317" t="s">
        <v>561</v>
      </c>
      <c r="C29" s="151" t="s">
        <v>562</v>
      </c>
      <c r="D29" s="326">
        <f>SUM(D30:D33)</f>
        <v>133098</v>
      </c>
      <c r="E29" s="326">
        <f t="shared" ref="E29:P29" si="6">SUM(E30:E33)</f>
        <v>11374</v>
      </c>
      <c r="F29" s="326">
        <f t="shared" si="6"/>
        <v>1857</v>
      </c>
      <c r="G29" s="327">
        <f t="shared" si="2"/>
        <v>142615</v>
      </c>
      <c r="H29" s="326">
        <f t="shared" si="6"/>
        <v>0</v>
      </c>
      <c r="I29" s="326">
        <f t="shared" si="6"/>
        <v>419</v>
      </c>
      <c r="J29" s="327">
        <f t="shared" si="3"/>
        <v>142196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142196</v>
      </c>
    </row>
    <row r="30" spans="1:18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8">
      <c r="A31" s="330"/>
      <c r="B31" s="312" t="s">
        <v>110</v>
      </c>
      <c r="C31" s="143" t="s">
        <v>564</v>
      </c>
      <c r="D31" s="319">
        <v>1983</v>
      </c>
      <c r="E31" s="319">
        <v>48</v>
      </c>
      <c r="F31" s="319"/>
      <c r="G31" s="320">
        <f t="shared" si="2"/>
        <v>2031</v>
      </c>
      <c r="H31" s="319"/>
      <c r="I31" s="319"/>
      <c r="J31" s="320">
        <f t="shared" si="3"/>
        <v>2031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2031</v>
      </c>
    </row>
    <row r="32" spans="1:18">
      <c r="A32" s="330"/>
      <c r="B32" s="312" t="s">
        <v>113</v>
      </c>
      <c r="C32" s="143" t="s">
        <v>565</v>
      </c>
      <c r="D32" s="319">
        <v>125337</v>
      </c>
      <c r="E32" s="319">
        <v>10963</v>
      </c>
      <c r="F32" s="319">
        <v>1342</v>
      </c>
      <c r="G32" s="320">
        <f t="shared" si="2"/>
        <v>134958</v>
      </c>
      <c r="H32" s="319"/>
      <c r="I32" s="319"/>
      <c r="J32" s="320">
        <f t="shared" si="3"/>
        <v>134958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134958</v>
      </c>
    </row>
    <row r="33" spans="1:18">
      <c r="A33" s="330"/>
      <c r="B33" s="312" t="s">
        <v>115</v>
      </c>
      <c r="C33" s="143" t="s">
        <v>566</v>
      </c>
      <c r="D33" s="319">
        <v>5778</v>
      </c>
      <c r="E33" s="319">
        <v>363</v>
      </c>
      <c r="F33" s="319">
        <v>515</v>
      </c>
      <c r="G33" s="320">
        <f t="shared" si="2"/>
        <v>5626</v>
      </c>
      <c r="H33" s="319"/>
      <c r="I33" s="319">
        <v>419</v>
      </c>
      <c r="J33" s="320">
        <f t="shared" si="3"/>
        <v>5207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5207</v>
      </c>
    </row>
    <row r="34" spans="1:18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8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8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8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8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8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8">
      <c r="A40" s="330"/>
      <c r="B40" s="313" t="s">
        <v>577</v>
      </c>
      <c r="C40" s="147" t="s">
        <v>578</v>
      </c>
      <c r="D40" s="321">
        <f>D29+D34+D39</f>
        <v>133098</v>
      </c>
      <c r="E40" s="321">
        <f t="shared" ref="E40:P40" si="10">E29+E34+E39</f>
        <v>11374</v>
      </c>
      <c r="F40" s="321">
        <f t="shared" si="10"/>
        <v>1857</v>
      </c>
      <c r="G40" s="320">
        <f t="shared" si="2"/>
        <v>142615</v>
      </c>
      <c r="H40" s="321">
        <f t="shared" si="10"/>
        <v>0</v>
      </c>
      <c r="I40" s="321">
        <f t="shared" si="10"/>
        <v>419</v>
      </c>
      <c r="J40" s="320">
        <f t="shared" si="3"/>
        <v>142196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142196</v>
      </c>
    </row>
    <row r="41" spans="1:18">
      <c r="A41" s="332" t="s">
        <v>579</v>
      </c>
      <c r="B41" s="318" t="s">
        <v>580</v>
      </c>
      <c r="C41" s="147" t="s">
        <v>581</v>
      </c>
      <c r="D41" s="319">
        <v>31308</v>
      </c>
      <c r="E41" s="319">
        <v>19</v>
      </c>
      <c r="F41" s="319"/>
      <c r="G41" s="320">
        <f t="shared" si="2"/>
        <v>31327</v>
      </c>
      <c r="H41" s="319"/>
      <c r="I41" s="319"/>
      <c r="J41" s="320">
        <f t="shared" si="3"/>
        <v>31327</v>
      </c>
      <c r="K41" s="319">
        <v>17888</v>
      </c>
      <c r="L41" s="319"/>
      <c r="M41" s="319"/>
      <c r="N41" s="320">
        <f t="shared" si="4"/>
        <v>17888</v>
      </c>
      <c r="O41" s="319"/>
      <c r="P41" s="319"/>
      <c r="Q41" s="320">
        <f t="shared" si="7"/>
        <v>17888</v>
      </c>
      <c r="R41" s="331">
        <f t="shared" si="8"/>
        <v>13439</v>
      </c>
    </row>
    <row r="42" spans="1:18" ht="16.5" thickBot="1">
      <c r="A42" s="337"/>
      <c r="B42" s="338" t="s">
        <v>582</v>
      </c>
      <c r="C42" s="339" t="s">
        <v>583</v>
      </c>
      <c r="D42" s="340">
        <f>D19+D20+D21+D27+D40+D41</f>
        <v>903200</v>
      </c>
      <c r="E42" s="340">
        <f>E19+E20+E21+E27+E40+E41</f>
        <v>33344</v>
      </c>
      <c r="F42" s="340">
        <f t="shared" ref="F42:R42" si="11">F19+F20+F21+F27+F40+F41</f>
        <v>8572</v>
      </c>
      <c r="G42" s="340">
        <f t="shared" si="11"/>
        <v>927972</v>
      </c>
      <c r="H42" s="340">
        <f t="shared" si="11"/>
        <v>0</v>
      </c>
      <c r="I42" s="340">
        <f t="shared" si="11"/>
        <v>419</v>
      </c>
      <c r="J42" s="340">
        <f t="shared" si="11"/>
        <v>927553</v>
      </c>
      <c r="K42" s="340">
        <f t="shared" si="11"/>
        <v>330422</v>
      </c>
      <c r="L42" s="340">
        <f t="shared" si="11"/>
        <v>25776</v>
      </c>
      <c r="M42" s="340">
        <f t="shared" si="11"/>
        <v>2933</v>
      </c>
      <c r="N42" s="340">
        <f t="shared" si="11"/>
        <v>353265</v>
      </c>
      <c r="O42" s="340">
        <f t="shared" si="11"/>
        <v>0</v>
      </c>
      <c r="P42" s="340">
        <f t="shared" si="11"/>
        <v>0</v>
      </c>
      <c r="Q42" s="340">
        <f t="shared" si="11"/>
        <v>353265</v>
      </c>
      <c r="R42" s="341">
        <f t="shared" si="11"/>
        <v>574288</v>
      </c>
    </row>
    <row r="43" spans="1:18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8">
      <c r="A45" s="491"/>
      <c r="B45" s="661" t="s">
        <v>949</v>
      </c>
      <c r="C45" s="672">
        <f>pdeReportingDate</f>
        <v>44799</v>
      </c>
      <c r="D45" s="672"/>
      <c r="E45" s="672"/>
      <c r="F45" s="672"/>
      <c r="G45" s="672"/>
      <c r="H45" s="672"/>
      <c r="I45" s="672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8">
      <c r="B46" s="661"/>
      <c r="C46" s="51"/>
      <c r="D46" s="51"/>
      <c r="E46" s="51"/>
      <c r="F46" s="51"/>
      <c r="G46" s="51"/>
      <c r="H46" s="51"/>
      <c r="I46" s="51"/>
    </row>
    <row r="47" spans="1:18">
      <c r="B47" s="662" t="s">
        <v>8</v>
      </c>
      <c r="C47" s="673" t="str">
        <f>authorName</f>
        <v>ЛЮДМИЛА БОНДЖОВА</v>
      </c>
      <c r="D47" s="673"/>
      <c r="E47" s="673"/>
      <c r="F47" s="673"/>
      <c r="G47" s="673"/>
      <c r="H47" s="673"/>
      <c r="I47" s="673"/>
    </row>
    <row r="48" spans="1:18">
      <c r="B48" s="662"/>
      <c r="C48" s="75"/>
      <c r="D48" s="75"/>
      <c r="E48" s="75"/>
      <c r="F48" s="75"/>
      <c r="G48" s="75"/>
      <c r="H48" s="75"/>
      <c r="I48" s="75"/>
    </row>
    <row r="49" spans="2:9">
      <c r="B49" s="662" t="s">
        <v>894</v>
      </c>
      <c r="C49" s="674"/>
      <c r="D49" s="674"/>
      <c r="E49" s="674"/>
      <c r="F49" s="674"/>
      <c r="G49" s="674"/>
      <c r="H49" s="674"/>
      <c r="I49" s="674"/>
    </row>
    <row r="50" spans="2:9">
      <c r="B50" s="663"/>
      <c r="C50" s="675" t="str">
        <f>+Начална!B17</f>
        <v>ОГНЯН ДОНЕВ</v>
      </c>
      <c r="D50" s="671"/>
      <c r="E50" s="671"/>
      <c r="F50" s="671"/>
      <c r="G50" s="543"/>
      <c r="H50" s="44"/>
      <c r="I50" s="41"/>
    </row>
    <row r="51" spans="2:9">
      <c r="B51" s="663"/>
      <c r="C51" s="671"/>
      <c r="D51" s="671"/>
      <c r="E51" s="671"/>
      <c r="F51" s="671"/>
      <c r="G51" s="543"/>
      <c r="H51" s="44"/>
      <c r="I51" s="41"/>
    </row>
    <row r="52" spans="2:9">
      <c r="B52" s="663"/>
      <c r="C52" s="671"/>
      <c r="D52" s="671"/>
      <c r="E52" s="671"/>
      <c r="F52" s="671"/>
      <c r="G52" s="543"/>
      <c r="H52" s="44"/>
      <c r="I52" s="41"/>
    </row>
    <row r="53" spans="2:9">
      <c r="B53" s="663"/>
      <c r="C53" s="671"/>
      <c r="D53" s="671"/>
      <c r="E53" s="671"/>
      <c r="F53" s="671"/>
      <c r="G53" s="543"/>
      <c r="H53" s="44"/>
      <c r="I53" s="41"/>
    </row>
    <row r="54" spans="2:9">
      <c r="B54" s="663"/>
      <c r="C54" s="671"/>
      <c r="D54" s="671"/>
      <c r="E54" s="671"/>
      <c r="F54" s="671"/>
      <c r="G54" s="543"/>
      <c r="H54" s="44"/>
      <c r="I54" s="41"/>
    </row>
    <row r="55" spans="2:9">
      <c r="B55" s="663"/>
      <c r="C55" s="671"/>
      <c r="D55" s="671"/>
      <c r="E55" s="671"/>
      <c r="F55" s="671"/>
      <c r="G55" s="543"/>
      <c r="H55" s="44"/>
      <c r="I55" s="41"/>
    </row>
    <row r="56" spans="2:9">
      <c r="B56" s="663"/>
      <c r="C56" s="671"/>
      <c r="D56" s="671"/>
      <c r="E56" s="671"/>
      <c r="F56" s="671"/>
      <c r="G56" s="543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password="E11D" sheet="1" insertRows="0"/>
  <customSheetViews>
    <customSheetView guid="{3239EBCD-0009-49F8-9CD4-7149DE51B97F}" scale="80" showPageBreaks="1" fitToPage="1" printArea="1" view="pageBreakPreview" topLeftCell="C20">
      <selection activeCell="H32" sqref="H32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horizontalDpi="300" verticalDpi="300" r:id="rId1"/>
      <headerFooter alignWithMargins="0"/>
    </customSheetView>
    <customSheetView guid="{23BEE295-D922-43C3-8F5E-52A6C7961032}" fitToPage="1" topLeftCell="A3">
      <pane xSplit="3" ySplit="8" topLeftCell="R37" activePane="bottomRight" state="frozen"/>
      <selection pane="bottomRight" activeCell="U59" sqref="U59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horizontalDpi="300" verticalDpi="300" r:id="rId2"/>
      <headerFooter alignWithMargins="0"/>
    </customSheetView>
    <customSheetView guid="{D5A9973C-5346-486A-9057-6F44650CE612}" fitToPage="1" topLeftCell="A19">
      <selection activeCell="C53" sqref="C53:F53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r:id="rId3"/>
      <headerFooter alignWithMargins="0"/>
    </customSheetView>
  </customSheetViews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A122"/>
  <sheetViews>
    <sheetView topLeftCell="A83" workbookViewId="0">
      <selection activeCell="D88" sqref="D88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896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30.06.2022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02" t="s">
        <v>453</v>
      </c>
      <c r="B8" s="704" t="s">
        <v>11</v>
      </c>
      <c r="C8" s="700" t="s">
        <v>587</v>
      </c>
      <c r="D8" s="356" t="s">
        <v>588</v>
      </c>
      <c r="E8" s="357"/>
      <c r="F8" s="118"/>
    </row>
    <row r="9" spans="1:6" s="119" customFormat="1">
      <c r="A9" s="703"/>
      <c r="B9" s="705"/>
      <c r="C9" s="701"/>
      <c r="D9" s="122" t="s">
        <v>589</v>
      </c>
      <c r="E9" s="358" t="s">
        <v>590</v>
      </c>
      <c r="F9" s="118"/>
    </row>
    <row r="10" spans="1:6" s="119" customFormat="1" ht="16.5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5" thickBot="1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50444</v>
      </c>
      <c r="D13" s="353">
        <f>SUM(D14:D16)</f>
        <v>0</v>
      </c>
      <c r="E13" s="360">
        <f>SUM(E14:E16)</f>
        <v>50444</v>
      </c>
      <c r="F13" s="124"/>
    </row>
    <row r="14" spans="1:6">
      <c r="A14" s="361" t="s">
        <v>596</v>
      </c>
      <c r="B14" s="126" t="s">
        <v>597</v>
      </c>
      <c r="C14" s="359">
        <v>50444</v>
      </c>
      <c r="D14" s="359"/>
      <c r="E14" s="360">
        <f t="shared" ref="E14:E44" si="0">C14-D14</f>
        <v>50444</v>
      </c>
      <c r="F14" s="124"/>
    </row>
    <row r="15" spans="1:6">
      <c r="A15" s="361" t="s">
        <v>598</v>
      </c>
      <c r="B15" s="126" t="s">
        <v>599</v>
      </c>
      <c r="C15" s="359"/>
      <c r="D15" s="359"/>
      <c r="E15" s="360">
        <f t="shared" si="0"/>
        <v>0</v>
      </c>
      <c r="F15" s="124"/>
    </row>
    <row r="16" spans="1:6">
      <c r="A16" s="361" t="s">
        <v>600</v>
      </c>
      <c r="B16" s="126" t="s">
        <v>601</v>
      </c>
      <c r="C16" s="359"/>
      <c r="D16" s="359"/>
      <c r="E16" s="360">
        <f t="shared" si="0"/>
        <v>0</v>
      </c>
      <c r="F16" s="124"/>
    </row>
    <row r="17" spans="1:6">
      <c r="A17" s="361" t="s">
        <v>602</v>
      </c>
      <c r="B17" s="126" t="s">
        <v>603</v>
      </c>
      <c r="C17" s="359">
        <v>6397</v>
      </c>
      <c r="D17" s="359"/>
      <c r="E17" s="360">
        <f t="shared" si="0"/>
        <v>6397</v>
      </c>
      <c r="F17" s="124"/>
    </row>
    <row r="18" spans="1:6">
      <c r="A18" s="361" t="s">
        <v>604</v>
      </c>
      <c r="B18" s="126" t="s">
        <v>605</v>
      </c>
      <c r="C18" s="353">
        <f>+C19+C20</f>
        <v>4185</v>
      </c>
      <c r="D18" s="353">
        <f>+D19+D20</f>
        <v>0</v>
      </c>
      <c r="E18" s="360">
        <f t="shared" si="0"/>
        <v>4185</v>
      </c>
      <c r="F18" s="124"/>
    </row>
    <row r="19" spans="1:6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>
        <v>4185</v>
      </c>
      <c r="D20" s="359"/>
      <c r="E20" s="360">
        <f t="shared" si="0"/>
        <v>4185</v>
      </c>
      <c r="F20" s="124"/>
    </row>
    <row r="21" spans="1:6" ht="16.5" thickBot="1">
      <c r="A21" s="375" t="s">
        <v>609</v>
      </c>
      <c r="B21" s="376" t="s">
        <v>610</v>
      </c>
      <c r="C21" s="431">
        <f>C13+C17+C18</f>
        <v>61026</v>
      </c>
      <c r="D21" s="431">
        <f>D13+D17+D18</f>
        <v>0</v>
      </c>
      <c r="E21" s="432">
        <f>E13+E17+E18</f>
        <v>61026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>
      <c r="A23" s="361" t="s">
        <v>612</v>
      </c>
      <c r="B23" s="123" t="s">
        <v>613</v>
      </c>
      <c r="C23" s="434">
        <v>1291</v>
      </c>
      <c r="D23" s="434"/>
      <c r="E23" s="433">
        <f t="shared" si="0"/>
        <v>1291</v>
      </c>
      <c r="F23" s="124"/>
    </row>
    <row r="24" spans="1:6" ht="16.5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15998</v>
      </c>
      <c r="D26" s="353">
        <f>SUM(D27:D29)</f>
        <v>15998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>
        <v>13780</v>
      </c>
      <c r="D27" s="359">
        <v>13780</v>
      </c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>
        <v>811</v>
      </c>
      <c r="D28" s="359">
        <v>811</v>
      </c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>
        <v>1407</v>
      </c>
      <c r="D29" s="359">
        <v>1407</v>
      </c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>
        <v>227490</v>
      </c>
      <c r="D30" s="359">
        <v>227490</v>
      </c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>
        <v>16619</v>
      </c>
      <c r="D31" s="359">
        <v>16619</v>
      </c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>
        <v>1816</v>
      </c>
      <c r="D32" s="359">
        <v>1816</v>
      </c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>
        <v>13712</v>
      </c>
      <c r="D33" s="359">
        <v>13712</v>
      </c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/>
      <c r="D34" s="359"/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12147</v>
      </c>
      <c r="D35" s="353">
        <f>SUM(D36:D39)</f>
        <v>12147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>
        <v>431</v>
      </c>
      <c r="D36" s="359">
        <v>431</v>
      </c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>
        <v>6662</v>
      </c>
      <c r="D37" s="359">
        <v>6662</v>
      </c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/>
      <c r="D38" s="359"/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>
        <v>5054</v>
      </c>
      <c r="D39" s="359">
        <v>5054</v>
      </c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829</v>
      </c>
      <c r="D40" s="353">
        <f>SUM(D41:D44)</f>
        <v>829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/>
      <c r="D41" s="359"/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/>
      <c r="D42" s="359"/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/>
      <c r="D43" s="359"/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>
        <v>829</v>
      </c>
      <c r="D44" s="359">
        <v>829</v>
      </c>
      <c r="E44" s="360">
        <f t="shared" si="0"/>
        <v>0</v>
      </c>
      <c r="F44" s="124"/>
    </row>
    <row r="45" spans="1:27" ht="16.5" thickBot="1">
      <c r="A45" s="382" t="s">
        <v>653</v>
      </c>
      <c r="B45" s="383" t="s">
        <v>654</v>
      </c>
      <c r="C45" s="429">
        <f>C26+C30+C31+C33+C32+C34+C35+C40</f>
        <v>288611</v>
      </c>
      <c r="D45" s="429">
        <f>D26+D30+D31+D33+D32+D34+D35+D40</f>
        <v>288611</v>
      </c>
      <c r="E45" s="430">
        <f>E26+E30+E31+E33+E32+E34+E35+E40</f>
        <v>0</v>
      </c>
      <c r="F45" s="124"/>
    </row>
    <row r="46" spans="1:27" ht="16.5" thickBot="1">
      <c r="A46" s="384" t="s">
        <v>655</v>
      </c>
      <c r="B46" s="385" t="s">
        <v>656</v>
      </c>
      <c r="C46" s="435">
        <f>C45+C23+C21+C11</f>
        <v>350928</v>
      </c>
      <c r="D46" s="435">
        <f>D45+D23+D21+D11</f>
        <v>288611</v>
      </c>
      <c r="E46" s="436">
        <f>E45+E23+E21+E11</f>
        <v>62317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02" t="s">
        <v>453</v>
      </c>
      <c r="B50" s="704" t="s">
        <v>11</v>
      </c>
      <c r="C50" s="706" t="s">
        <v>658</v>
      </c>
      <c r="D50" s="356" t="s">
        <v>659</v>
      </c>
      <c r="E50" s="356"/>
      <c r="F50" s="708" t="s">
        <v>660</v>
      </c>
    </row>
    <row r="51" spans="1:6" s="119" customFormat="1" ht="18" customHeight="1">
      <c r="A51" s="703"/>
      <c r="B51" s="705"/>
      <c r="C51" s="707"/>
      <c r="D51" s="121" t="s">
        <v>589</v>
      </c>
      <c r="E51" s="121" t="s">
        <v>590</v>
      </c>
      <c r="F51" s="709"/>
    </row>
    <row r="52" spans="1:6" s="119" customFormat="1" ht="16.5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>
      <c r="A54" s="361" t="s">
        <v>662</v>
      </c>
      <c r="B54" s="126" t="s">
        <v>663</v>
      </c>
      <c r="C54" s="129">
        <f>SUM(C55:C57)</f>
        <v>10962</v>
      </c>
      <c r="D54" s="129">
        <f>SUM(D55:D57)</f>
        <v>0</v>
      </c>
      <c r="E54" s="127">
        <f>C54-D54</f>
        <v>10962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1" t="s">
        <v>666</v>
      </c>
      <c r="B56" s="126" t="s">
        <v>667</v>
      </c>
      <c r="C56" s="188">
        <v>10962</v>
      </c>
      <c r="D56" s="188"/>
      <c r="E56" s="127">
        <f t="shared" ref="E56:E97" si="1">C56-D56</f>
        <v>10962</v>
      </c>
      <c r="F56" s="187"/>
    </row>
    <row r="57" spans="1:6">
      <c r="A57" s="36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61" t="s">
        <v>669</v>
      </c>
      <c r="B58" s="126" t="s">
        <v>670</v>
      </c>
      <c r="C58" s="129">
        <f>C59+C61</f>
        <v>41998</v>
      </c>
      <c r="D58" s="129">
        <f>D59+D61</f>
        <v>0</v>
      </c>
      <c r="E58" s="127">
        <f t="shared" si="1"/>
        <v>41998</v>
      </c>
      <c r="F58" s="389">
        <f>F59+F61</f>
        <v>51208</v>
      </c>
    </row>
    <row r="59" spans="1:6">
      <c r="A59" s="361" t="s">
        <v>671</v>
      </c>
      <c r="B59" s="126" t="s">
        <v>672</v>
      </c>
      <c r="C59" s="188">
        <v>41998</v>
      </c>
      <c r="D59" s="188"/>
      <c r="E59" s="127">
        <f t="shared" si="1"/>
        <v>41998</v>
      </c>
      <c r="F59" s="187">
        <v>51208</v>
      </c>
    </row>
    <row r="60" spans="1:6">
      <c r="A60" s="39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9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9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6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6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6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61" t="s">
        <v>682</v>
      </c>
      <c r="B66" s="126" t="s">
        <v>683</v>
      </c>
      <c r="C66" s="188">
        <v>60287</v>
      </c>
      <c r="D66" s="188"/>
      <c r="E66" s="127">
        <f t="shared" si="1"/>
        <v>60287</v>
      </c>
      <c r="F66" s="187"/>
    </row>
    <row r="67" spans="1:6">
      <c r="A67" s="361" t="s">
        <v>684</v>
      </c>
      <c r="B67" s="126" t="s">
        <v>685</v>
      </c>
      <c r="C67" s="188">
        <v>37995</v>
      </c>
      <c r="D67" s="188"/>
      <c r="E67" s="127">
        <f t="shared" si="1"/>
        <v>37995</v>
      </c>
      <c r="F67" s="187"/>
    </row>
    <row r="68" spans="1:6" ht="16.5" thickBot="1">
      <c r="A68" s="375" t="s">
        <v>686</v>
      </c>
      <c r="B68" s="376" t="s">
        <v>687</v>
      </c>
      <c r="C68" s="426">
        <f>C54+C58+C63+C64+C65+C66</f>
        <v>113247</v>
      </c>
      <c r="D68" s="426">
        <f>D54+D58+D63+D64+D65+D66</f>
        <v>0</v>
      </c>
      <c r="E68" s="427">
        <f t="shared" si="1"/>
        <v>113247</v>
      </c>
      <c r="F68" s="428">
        <f>F54+F58+F63+F64+F65+F66</f>
        <v>51208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>
        <v>7754</v>
      </c>
      <c r="D70" s="188"/>
      <c r="E70" s="127">
        <f t="shared" si="1"/>
        <v>7754</v>
      </c>
      <c r="F70" s="187"/>
    </row>
    <row r="71" spans="1:6" ht="16.5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>
      <c r="A73" s="361" t="s">
        <v>662</v>
      </c>
      <c r="B73" s="126" t="s">
        <v>692</v>
      </c>
      <c r="C73" s="128">
        <f>SUM(C74:C76)</f>
        <v>3816</v>
      </c>
      <c r="D73" s="128">
        <f>SUM(D74:D76)</f>
        <v>3816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>
        <v>3816</v>
      </c>
      <c r="D74" s="188">
        <v>3816</v>
      </c>
      <c r="E74" s="127">
        <f t="shared" si="1"/>
        <v>0</v>
      </c>
      <c r="F74" s="187"/>
    </row>
    <row r="75" spans="1:6">
      <c r="A75" s="36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2" t="s">
        <v>697</v>
      </c>
      <c r="B76" s="126" t="s">
        <v>698</v>
      </c>
      <c r="C76" s="188"/>
      <c r="D76" s="188"/>
      <c r="E76" s="127">
        <f t="shared" si="1"/>
        <v>0</v>
      </c>
      <c r="F76" s="187"/>
    </row>
    <row r="77" spans="1:6" ht="31.5">
      <c r="A77" s="361" t="s">
        <v>669</v>
      </c>
      <c r="B77" s="126" t="s">
        <v>699</v>
      </c>
      <c r="C77" s="129">
        <f>C78+C80</f>
        <v>175968</v>
      </c>
      <c r="D77" s="129">
        <f>D78+D80</f>
        <v>175968</v>
      </c>
      <c r="E77" s="129">
        <f>E78+E80</f>
        <v>0</v>
      </c>
      <c r="F77" s="389">
        <f>F78+F80</f>
        <v>379122</v>
      </c>
    </row>
    <row r="78" spans="1:6">
      <c r="A78" s="361" t="s">
        <v>700</v>
      </c>
      <c r="B78" s="126" t="s">
        <v>701</v>
      </c>
      <c r="C78" s="188">
        <v>175968</v>
      </c>
      <c r="D78" s="188">
        <v>175968</v>
      </c>
      <c r="E78" s="127">
        <f t="shared" si="1"/>
        <v>0</v>
      </c>
      <c r="F78" s="187">
        <f>430330-51208</f>
        <v>379122</v>
      </c>
    </row>
    <row r="79" spans="1:6">
      <c r="A79" s="36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6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6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61" t="s">
        <v>707</v>
      </c>
      <c r="B82" s="126" t="s">
        <v>708</v>
      </c>
      <c r="C82" s="129">
        <f>SUM(C83:C86)</f>
        <v>9402</v>
      </c>
      <c r="D82" s="129">
        <f>SUM(D83:D86)</f>
        <v>9402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6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61" t="s">
        <v>713</v>
      </c>
      <c r="B85" s="126" t="s">
        <v>714</v>
      </c>
      <c r="C85" s="188">
        <v>9402</v>
      </c>
      <c r="D85" s="188">
        <v>9402</v>
      </c>
      <c r="E85" s="127">
        <f t="shared" si="1"/>
        <v>0</v>
      </c>
      <c r="F85" s="187"/>
    </row>
    <row r="86" spans="1:6">
      <c r="A86" s="36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61" t="s">
        <v>717</v>
      </c>
      <c r="B87" s="126" t="s">
        <v>718</v>
      </c>
      <c r="C87" s="125">
        <f>SUM(C88:C92)+C96</f>
        <v>181121</v>
      </c>
      <c r="D87" s="125">
        <f>SUM(D88:D92)+D96</f>
        <v>181121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61" t="s">
        <v>721</v>
      </c>
      <c r="B89" s="126" t="s">
        <v>722</v>
      </c>
      <c r="C89" s="188">
        <v>155474</v>
      </c>
      <c r="D89" s="188">
        <v>155474</v>
      </c>
      <c r="E89" s="127">
        <f t="shared" si="1"/>
        <v>0</v>
      </c>
      <c r="F89" s="187"/>
    </row>
    <row r="90" spans="1:6">
      <c r="A90" s="361" t="s">
        <v>723</v>
      </c>
      <c r="B90" s="126" t="s">
        <v>724</v>
      </c>
      <c r="C90" s="188">
        <v>542</v>
      </c>
      <c r="D90" s="188">
        <v>542</v>
      </c>
      <c r="E90" s="127">
        <f t="shared" si="1"/>
        <v>0</v>
      </c>
      <c r="F90" s="187"/>
    </row>
    <row r="91" spans="1:6">
      <c r="A91" s="361" t="s">
        <v>725</v>
      </c>
      <c r="B91" s="126" t="s">
        <v>726</v>
      </c>
      <c r="C91" s="188">
        <v>15966</v>
      </c>
      <c r="D91" s="188">
        <v>15966</v>
      </c>
      <c r="E91" s="127">
        <f t="shared" si="1"/>
        <v>0</v>
      </c>
      <c r="F91" s="187"/>
    </row>
    <row r="92" spans="1:6">
      <c r="A92" s="361" t="s">
        <v>727</v>
      </c>
      <c r="B92" s="126" t="s">
        <v>728</v>
      </c>
      <c r="C92" s="129">
        <f>SUM(C93:C95)</f>
        <v>5528</v>
      </c>
      <c r="D92" s="129">
        <f>SUM(D93:D95)</f>
        <v>5528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>
        <v>975</v>
      </c>
      <c r="D93" s="188">
        <v>975</v>
      </c>
      <c r="E93" s="127">
        <f t="shared" si="1"/>
        <v>0</v>
      </c>
      <c r="F93" s="187"/>
    </row>
    <row r="94" spans="1:6">
      <c r="A94" s="361" t="s">
        <v>637</v>
      </c>
      <c r="B94" s="126" t="s">
        <v>731</v>
      </c>
      <c r="C94" s="188">
        <v>3230</v>
      </c>
      <c r="D94" s="188">
        <v>3230</v>
      </c>
      <c r="E94" s="127">
        <f t="shared" si="1"/>
        <v>0</v>
      </c>
      <c r="F94" s="187"/>
    </row>
    <row r="95" spans="1:6">
      <c r="A95" s="361" t="s">
        <v>641</v>
      </c>
      <c r="B95" s="126" t="s">
        <v>732</v>
      </c>
      <c r="C95" s="188">
        <v>1323</v>
      </c>
      <c r="D95" s="188">
        <v>1323</v>
      </c>
      <c r="E95" s="127">
        <f t="shared" si="1"/>
        <v>0</v>
      </c>
      <c r="F95" s="187"/>
    </row>
    <row r="96" spans="1:6">
      <c r="A96" s="361" t="s">
        <v>733</v>
      </c>
      <c r="B96" s="126" t="s">
        <v>734</v>
      </c>
      <c r="C96" s="188">
        <v>3611</v>
      </c>
      <c r="D96" s="188">
        <v>3611</v>
      </c>
      <c r="E96" s="127">
        <f t="shared" si="1"/>
        <v>0</v>
      </c>
      <c r="F96" s="187"/>
    </row>
    <row r="97" spans="1:27">
      <c r="A97" s="361" t="s">
        <v>735</v>
      </c>
      <c r="B97" s="126" t="s">
        <v>736</v>
      </c>
      <c r="C97" s="188">
        <v>24081</v>
      </c>
      <c r="D97" s="188">
        <v>24081</v>
      </c>
      <c r="E97" s="127">
        <f t="shared" si="1"/>
        <v>0</v>
      </c>
      <c r="F97" s="187"/>
    </row>
    <row r="98" spans="1:27" ht="16.5" thickBot="1">
      <c r="A98" s="375" t="s">
        <v>737</v>
      </c>
      <c r="B98" s="376" t="s">
        <v>738</v>
      </c>
      <c r="C98" s="424">
        <f>C87+C82+C77+C73+C97</f>
        <v>394388</v>
      </c>
      <c r="D98" s="424">
        <f>D87+D82+D77+D73+D97</f>
        <v>394388</v>
      </c>
      <c r="E98" s="424">
        <f>E87+E82+E77+E73+E97</f>
        <v>0</v>
      </c>
      <c r="F98" s="425">
        <f>F87+F82+F77+F73+F97</f>
        <v>379122</v>
      </c>
    </row>
    <row r="99" spans="1:27" ht="16.5" thickBot="1">
      <c r="A99" s="403" t="s">
        <v>739</v>
      </c>
      <c r="B99" s="404" t="s">
        <v>740</v>
      </c>
      <c r="C99" s="418">
        <f>C98+C70+C68</f>
        <v>515389</v>
      </c>
      <c r="D99" s="418">
        <f>D98+D70+D68</f>
        <v>394388</v>
      </c>
      <c r="E99" s="418">
        <f>E98+E70+E68</f>
        <v>121001</v>
      </c>
      <c r="F99" s="419">
        <f>F98+F70+F68</f>
        <v>430330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5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6.5" thickBot="1">
      <c r="A106" s="379" t="s">
        <v>750</v>
      </c>
      <c r="B106" s="413" t="s">
        <v>751</v>
      </c>
      <c r="C106" s="271">
        <v>139</v>
      </c>
      <c r="D106" s="271"/>
      <c r="E106" s="271"/>
      <c r="F106" s="414">
        <f>C106+D106-E106</f>
        <v>139</v>
      </c>
    </row>
    <row r="107" spans="1:27" ht="16.5" thickBot="1">
      <c r="A107" s="409" t="s">
        <v>752</v>
      </c>
      <c r="B107" s="415" t="s">
        <v>753</v>
      </c>
      <c r="C107" s="416">
        <f>SUM(C104:C106)</f>
        <v>139</v>
      </c>
      <c r="D107" s="416">
        <f>SUM(D104:D106)</f>
        <v>0</v>
      </c>
      <c r="E107" s="416">
        <f>SUM(E104:E106)</f>
        <v>0</v>
      </c>
      <c r="F107" s="417">
        <f>SUM(F104:F106)</f>
        <v>139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9" t="s">
        <v>817</v>
      </c>
      <c r="B109" s="699"/>
      <c r="C109" s="699"/>
      <c r="D109" s="699"/>
      <c r="E109" s="699"/>
      <c r="F109" s="699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61" t="s">
        <v>949</v>
      </c>
      <c r="B111" s="672">
        <f>pdeReportingDate</f>
        <v>44799</v>
      </c>
      <c r="C111" s="672"/>
      <c r="D111" s="672"/>
      <c r="E111" s="672"/>
      <c r="F111" s="672"/>
      <c r="G111" s="51"/>
      <c r="H111" s="51"/>
    </row>
    <row r="112" spans="1:27">
      <c r="A112" s="661"/>
      <c r="B112" s="672"/>
      <c r="C112" s="672"/>
      <c r="D112" s="672"/>
      <c r="E112" s="672"/>
      <c r="F112" s="672"/>
      <c r="G112" s="51"/>
      <c r="H112" s="51"/>
    </row>
    <row r="113" spans="1:8">
      <c r="A113" s="662" t="s">
        <v>8</v>
      </c>
      <c r="B113" s="673" t="str">
        <f>authorName</f>
        <v>ЛЮДМИЛА БОНДЖОВА</v>
      </c>
      <c r="C113" s="673"/>
      <c r="D113" s="673"/>
      <c r="E113" s="673"/>
      <c r="F113" s="673"/>
      <c r="G113" s="75"/>
      <c r="H113" s="75"/>
    </row>
    <row r="114" spans="1:8">
      <c r="A114" s="662"/>
      <c r="B114" s="673"/>
      <c r="C114" s="673"/>
      <c r="D114" s="673"/>
      <c r="E114" s="673"/>
      <c r="F114" s="673"/>
      <c r="G114" s="75"/>
      <c r="H114" s="75"/>
    </row>
    <row r="115" spans="1:8">
      <c r="A115" s="662" t="s">
        <v>894</v>
      </c>
      <c r="B115" s="674"/>
      <c r="C115" s="674"/>
      <c r="D115" s="674"/>
      <c r="E115" s="674"/>
      <c r="F115" s="674"/>
      <c r="G115" s="77"/>
      <c r="H115" s="77"/>
    </row>
    <row r="116" spans="1:8" ht="15.75" customHeight="1">
      <c r="A116" s="663"/>
      <c r="B116" s="675" t="str">
        <f>+Начална!B17</f>
        <v>ОГНЯН ДОНЕВ</v>
      </c>
      <c r="C116" s="671"/>
      <c r="D116" s="671"/>
      <c r="E116" s="671"/>
      <c r="F116" s="671"/>
      <c r="G116" s="663"/>
      <c r="H116" s="663"/>
    </row>
    <row r="117" spans="1:8" ht="15.75" customHeight="1">
      <c r="A117" s="663"/>
      <c r="B117" s="671"/>
      <c r="C117" s="671"/>
      <c r="D117" s="671"/>
      <c r="E117" s="671"/>
      <c r="F117" s="671"/>
      <c r="G117" s="663"/>
      <c r="H117" s="663"/>
    </row>
    <row r="118" spans="1:8" ht="15.75" customHeight="1">
      <c r="A118" s="663"/>
      <c r="B118" s="671"/>
      <c r="C118" s="671"/>
      <c r="D118" s="671"/>
      <c r="E118" s="671"/>
      <c r="F118" s="671"/>
      <c r="G118" s="663"/>
      <c r="H118" s="663"/>
    </row>
    <row r="119" spans="1:8" ht="15.75" customHeight="1">
      <c r="A119" s="663"/>
      <c r="B119" s="671"/>
      <c r="C119" s="671"/>
      <c r="D119" s="671"/>
      <c r="E119" s="671"/>
      <c r="F119" s="671"/>
      <c r="G119" s="663"/>
      <c r="H119" s="663"/>
    </row>
    <row r="120" spans="1:8">
      <c r="A120" s="663"/>
      <c r="B120" s="671"/>
      <c r="C120" s="671"/>
      <c r="D120" s="671"/>
      <c r="E120" s="671"/>
      <c r="F120" s="671"/>
      <c r="G120" s="663"/>
      <c r="H120" s="663"/>
    </row>
    <row r="121" spans="1:8">
      <c r="A121" s="663"/>
      <c r="B121" s="671"/>
      <c r="C121" s="671"/>
      <c r="D121" s="671"/>
      <c r="E121" s="671"/>
      <c r="F121" s="671"/>
      <c r="G121" s="663"/>
      <c r="H121" s="663"/>
    </row>
    <row r="122" spans="1:8">
      <c r="A122" s="663"/>
      <c r="B122" s="671"/>
      <c r="C122" s="671"/>
      <c r="D122" s="671"/>
      <c r="E122" s="671"/>
      <c r="F122" s="671"/>
      <c r="G122" s="663"/>
      <c r="H122" s="663"/>
    </row>
  </sheetData>
  <sheetProtection password="D554" sheet="1" objects="1" scenarios="1" insertRows="0"/>
  <customSheetViews>
    <customSheetView guid="{3239EBCD-0009-49F8-9CD4-7149DE51B97F}" scale="70" showPageBreaks="1" view="pageBreakPreview" topLeftCell="A7">
      <selection activeCell="C30" sqref="C30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horizontalDpi="300" verticalDpi="300" r:id="rId1"/>
      <headerFooter alignWithMargins="0"/>
    </customSheetView>
    <customSheetView guid="{23BEE295-D922-43C3-8F5E-52A6C7961032}"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horizontalDpi="300" verticalDpi="300" r:id="rId2"/>
      <headerFooter alignWithMargins="0"/>
    </customSheetView>
    <customSheetView guid="{D5A9973C-5346-486A-9057-6F44650CE612}"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r:id="rId3"/>
      <headerFooter alignWithMargins="0"/>
    </customSheetView>
  </customSheetViews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4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264"/>
  <sheetViews>
    <sheetView workbookViewId="0">
      <selection activeCell="B32" sqref="B32:F32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30.06.2022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0" t="s">
        <v>453</v>
      </c>
      <c r="B8" s="715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11"/>
      <c r="B9" s="716"/>
      <c r="C9" s="713" t="s">
        <v>756</v>
      </c>
      <c r="D9" s="713" t="s">
        <v>757</v>
      </c>
      <c r="E9" s="713" t="s">
        <v>758</v>
      </c>
      <c r="F9" s="713" t="s">
        <v>759</v>
      </c>
      <c r="G9" s="104" t="s">
        <v>760</v>
      </c>
      <c r="H9" s="104"/>
      <c r="I9" s="714" t="s">
        <v>818</v>
      </c>
    </row>
    <row r="10" spans="1:22" s="103" customFormat="1" ht="24" customHeight="1">
      <c r="A10" s="711"/>
      <c r="B10" s="716"/>
      <c r="C10" s="713"/>
      <c r="D10" s="713"/>
      <c r="E10" s="713"/>
      <c r="F10" s="713"/>
      <c r="G10" s="106" t="s">
        <v>516</v>
      </c>
      <c r="H10" s="106" t="s">
        <v>517</v>
      </c>
      <c r="I10" s="714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15192534</v>
      </c>
      <c r="D13" s="440"/>
      <c r="E13" s="440"/>
      <c r="F13" s="440">
        <v>142615</v>
      </c>
      <c r="G13" s="440"/>
      <c r="H13" s="440">
        <v>419</v>
      </c>
      <c r="I13" s="441">
        <f>F13+G13-H13</f>
        <v>142196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15192534</v>
      </c>
      <c r="D18" s="447">
        <f t="shared" si="1"/>
        <v>0</v>
      </c>
      <c r="E18" s="447">
        <f t="shared" si="1"/>
        <v>0</v>
      </c>
      <c r="F18" s="447">
        <f t="shared" si="1"/>
        <v>142615</v>
      </c>
      <c r="G18" s="447">
        <f t="shared" si="1"/>
        <v>0</v>
      </c>
      <c r="H18" s="447">
        <f t="shared" si="1"/>
        <v>419</v>
      </c>
      <c r="I18" s="448">
        <f t="shared" si="0"/>
        <v>142196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>
        <v>13479000</v>
      </c>
      <c r="D21" s="440"/>
      <c r="E21" s="440"/>
      <c r="F21" s="440">
        <v>52202</v>
      </c>
      <c r="G21" s="440"/>
      <c r="H21" s="440"/>
      <c r="I21" s="441">
        <f t="shared" si="0"/>
        <v>52202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13479000</v>
      </c>
      <c r="D27" s="447">
        <f t="shared" si="2"/>
        <v>0</v>
      </c>
      <c r="E27" s="447">
        <f t="shared" si="2"/>
        <v>0</v>
      </c>
      <c r="F27" s="447">
        <f t="shared" si="2"/>
        <v>52202</v>
      </c>
      <c r="G27" s="447">
        <f t="shared" si="2"/>
        <v>0</v>
      </c>
      <c r="H27" s="447">
        <f t="shared" si="2"/>
        <v>0</v>
      </c>
      <c r="I27" s="448">
        <f t="shared" si="0"/>
        <v>52202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2" t="s">
        <v>819</v>
      </c>
      <c r="B29" s="712"/>
      <c r="C29" s="712"/>
      <c r="D29" s="712"/>
      <c r="E29" s="712"/>
      <c r="F29" s="712"/>
      <c r="G29" s="712"/>
      <c r="H29" s="712"/>
      <c r="I29" s="712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949</v>
      </c>
      <c r="B31" s="672">
        <f>pdeReportingDate</f>
        <v>44799</v>
      </c>
      <c r="C31" s="672"/>
      <c r="D31" s="672"/>
      <c r="E31" s="672"/>
      <c r="F31" s="672"/>
      <c r="G31" s="115"/>
      <c r="H31" s="115"/>
      <c r="I31" s="115"/>
    </row>
    <row r="32" spans="1:16" s="107" customFormat="1">
      <c r="A32" s="661"/>
      <c r="B32" s="672"/>
      <c r="C32" s="672"/>
      <c r="D32" s="672"/>
      <c r="E32" s="672"/>
      <c r="F32" s="672"/>
      <c r="G32" s="115"/>
      <c r="H32" s="115"/>
      <c r="I32" s="115"/>
    </row>
    <row r="33" spans="1:9" s="107" customFormat="1">
      <c r="A33" s="662" t="s">
        <v>8</v>
      </c>
      <c r="B33" s="673" t="str">
        <f>authorName</f>
        <v>ЛЮДМИЛА БОНДЖОВА</v>
      </c>
      <c r="C33" s="673"/>
      <c r="D33" s="673"/>
      <c r="E33" s="673"/>
      <c r="F33" s="673"/>
      <c r="G33" s="115"/>
      <c r="H33" s="115"/>
      <c r="I33" s="115"/>
    </row>
    <row r="34" spans="1:9" s="107" customFormat="1">
      <c r="A34" s="662"/>
      <c r="B34" s="717"/>
      <c r="C34" s="717"/>
      <c r="D34" s="717"/>
      <c r="E34" s="717"/>
      <c r="F34" s="717"/>
      <c r="G34" s="717"/>
      <c r="H34" s="717"/>
      <c r="I34" s="717"/>
    </row>
    <row r="35" spans="1:9" s="107" customFormat="1">
      <c r="A35" s="662" t="s">
        <v>894</v>
      </c>
      <c r="B35" s="718"/>
      <c r="C35" s="718"/>
      <c r="D35" s="718"/>
      <c r="E35" s="718"/>
      <c r="F35" s="718"/>
      <c r="G35" s="718"/>
      <c r="H35" s="718"/>
      <c r="I35" s="718"/>
    </row>
    <row r="36" spans="1:9" s="107" customFormat="1" ht="15.75" customHeight="1">
      <c r="A36" s="663"/>
      <c r="B36" s="675" t="str">
        <f>+Начална!B17</f>
        <v>ОГНЯН ДОНЕВ</v>
      </c>
      <c r="C36" s="671"/>
      <c r="D36" s="671"/>
      <c r="E36" s="671"/>
      <c r="F36" s="671"/>
      <c r="G36" s="671"/>
      <c r="H36" s="671"/>
      <c r="I36" s="671"/>
    </row>
    <row r="37" spans="1:9" s="107" customFormat="1" ht="15.75" customHeight="1">
      <c r="A37" s="663"/>
      <c r="B37" s="671"/>
      <c r="C37" s="671"/>
      <c r="D37" s="671"/>
      <c r="E37" s="671"/>
      <c r="F37" s="671"/>
      <c r="G37" s="671"/>
      <c r="H37" s="671"/>
      <c r="I37" s="671"/>
    </row>
    <row r="38" spans="1:9" s="107" customFormat="1" ht="15.75" customHeight="1">
      <c r="A38" s="663"/>
      <c r="B38" s="671"/>
      <c r="C38" s="671"/>
      <c r="D38" s="671"/>
      <c r="E38" s="671"/>
      <c r="F38" s="671"/>
      <c r="G38" s="671"/>
      <c r="H38" s="671"/>
      <c r="I38" s="671"/>
    </row>
    <row r="39" spans="1:9" s="107" customFormat="1" ht="15.75" customHeight="1">
      <c r="A39" s="663"/>
      <c r="B39" s="671"/>
      <c r="C39" s="671"/>
      <c r="D39" s="671"/>
      <c r="E39" s="671"/>
      <c r="F39" s="671"/>
      <c r="G39" s="671"/>
      <c r="H39" s="671"/>
      <c r="I39" s="671"/>
    </row>
    <row r="40" spans="1:9" s="107" customFormat="1">
      <c r="A40" s="663"/>
      <c r="B40" s="671"/>
      <c r="C40" s="671"/>
      <c r="D40" s="671"/>
      <c r="E40" s="671"/>
      <c r="F40" s="671"/>
      <c r="G40" s="671"/>
      <c r="H40" s="671"/>
      <c r="I40" s="671"/>
    </row>
    <row r="41" spans="1:9" s="107" customFormat="1">
      <c r="A41" s="663"/>
      <c r="B41" s="671"/>
      <c r="C41" s="671"/>
      <c r="D41" s="671"/>
      <c r="E41" s="671"/>
      <c r="F41" s="671"/>
      <c r="G41" s="671"/>
      <c r="H41" s="671"/>
      <c r="I41" s="671"/>
    </row>
    <row r="42" spans="1:9" s="107" customFormat="1">
      <c r="A42" s="663"/>
      <c r="B42" s="671"/>
      <c r="C42" s="671"/>
      <c r="D42" s="671"/>
      <c r="E42" s="671"/>
      <c r="F42" s="671"/>
      <c r="G42" s="671"/>
      <c r="H42" s="671"/>
      <c r="I42" s="671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customSheetViews>
    <customSheetView guid="{3239EBCD-0009-49F8-9CD4-7149DE51B97F}" scale="85" showPageBreaks="1" fitToPage="1" view="pageBreakPreview">
      <selection activeCell="F22" sqref="F2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1"/>
      <headerFooter alignWithMargins="0"/>
    </customSheetView>
    <customSheetView guid="{23BEE295-D922-43C3-8F5E-52A6C7961032}" fitToPage="1" topLeftCell="B1">
      <selection activeCell="H13" sqref="H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2"/>
      <headerFooter alignWithMargins="0"/>
    </customSheetView>
    <customSheetView guid="{D5A9973C-5346-486A-9057-6F44650CE612}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</customSheetViews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workbookViewId="0">
      <selection activeCell="F13" sqref="F13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669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30.06.2022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0" t="s">
        <v>453</v>
      </c>
      <c r="B8" s="715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11"/>
      <c r="B9" s="716"/>
      <c r="C9" s="713" t="s">
        <v>756</v>
      </c>
      <c r="D9" s="713" t="s">
        <v>757</v>
      </c>
      <c r="E9" s="713" t="s">
        <v>758</v>
      </c>
      <c r="F9" s="713" t="s">
        <v>759</v>
      </c>
      <c r="G9" s="104" t="s">
        <v>760</v>
      </c>
      <c r="H9" s="104"/>
      <c r="I9" s="714" t="s">
        <v>818</v>
      </c>
    </row>
    <row r="10" spans="1:22" s="103" customFormat="1" ht="24" customHeight="1">
      <c r="A10" s="711"/>
      <c r="B10" s="716"/>
      <c r="C10" s="713"/>
      <c r="D10" s="713"/>
      <c r="E10" s="713"/>
      <c r="F10" s="713"/>
      <c r="G10" s="670" t="s">
        <v>516</v>
      </c>
      <c r="H10" s="670" t="s">
        <v>517</v>
      </c>
      <c r="I10" s="714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15190738</v>
      </c>
      <c r="D13" s="440"/>
      <c r="E13" s="440"/>
      <c r="F13" s="440">
        <v>142592</v>
      </c>
      <c r="G13" s="440"/>
      <c r="H13" s="440">
        <v>416</v>
      </c>
      <c r="I13" s="441">
        <f>F13+G13-H13</f>
        <v>142176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15190738</v>
      </c>
      <c r="D18" s="447">
        <f t="shared" si="1"/>
        <v>0</v>
      </c>
      <c r="E18" s="447">
        <f t="shared" si="1"/>
        <v>0</v>
      </c>
      <c r="F18" s="447">
        <f t="shared" si="1"/>
        <v>142592</v>
      </c>
      <c r="G18" s="447">
        <f t="shared" si="1"/>
        <v>0</v>
      </c>
      <c r="H18" s="447">
        <f t="shared" si="1"/>
        <v>416</v>
      </c>
      <c r="I18" s="448">
        <f t="shared" si="0"/>
        <v>142176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>
        <v>13479000</v>
      </c>
      <c r="D21" s="440"/>
      <c r="E21" s="440"/>
      <c r="F21" s="440">
        <v>52202</v>
      </c>
      <c r="G21" s="440"/>
      <c r="H21" s="440"/>
      <c r="I21" s="441">
        <f t="shared" si="0"/>
        <v>52202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13479000</v>
      </c>
      <c r="D27" s="447">
        <f t="shared" si="2"/>
        <v>0</v>
      </c>
      <c r="E27" s="447">
        <f t="shared" si="2"/>
        <v>0</v>
      </c>
      <c r="F27" s="447">
        <f t="shared" si="2"/>
        <v>52202</v>
      </c>
      <c r="G27" s="447">
        <f t="shared" si="2"/>
        <v>0</v>
      </c>
      <c r="H27" s="447">
        <f t="shared" si="2"/>
        <v>0</v>
      </c>
      <c r="I27" s="448">
        <f t="shared" si="0"/>
        <v>52202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2" t="s">
        <v>819</v>
      </c>
      <c r="B29" s="712"/>
      <c r="C29" s="712"/>
      <c r="D29" s="712"/>
      <c r="E29" s="712"/>
      <c r="F29" s="712"/>
      <c r="G29" s="712"/>
      <c r="H29" s="712"/>
      <c r="I29" s="712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949</v>
      </c>
      <c r="B31" s="672">
        <f>pdeReportingDate</f>
        <v>44799</v>
      </c>
      <c r="C31" s="672"/>
      <c r="D31" s="672"/>
      <c r="E31" s="672"/>
      <c r="F31" s="672"/>
      <c r="G31" s="115"/>
      <c r="H31" s="115"/>
      <c r="I31" s="115"/>
    </row>
    <row r="32" spans="1:16" s="107" customFormat="1">
      <c r="A32" s="661"/>
      <c r="B32" s="672"/>
      <c r="C32" s="672"/>
      <c r="D32" s="672"/>
      <c r="E32" s="672"/>
      <c r="F32" s="672"/>
      <c r="G32" s="115"/>
      <c r="H32" s="115"/>
      <c r="I32" s="115"/>
    </row>
    <row r="33" spans="1:9" s="107" customFormat="1">
      <c r="A33" s="662" t="s">
        <v>8</v>
      </c>
      <c r="B33" s="673" t="str">
        <f>authorName</f>
        <v>ЛЮДМИЛА БОНДЖОВА</v>
      </c>
      <c r="C33" s="673"/>
      <c r="D33" s="673"/>
      <c r="E33" s="673"/>
      <c r="F33" s="673"/>
      <c r="G33" s="115"/>
      <c r="H33" s="115"/>
      <c r="I33" s="115"/>
    </row>
    <row r="34" spans="1:9" s="107" customFormat="1">
      <c r="A34" s="662"/>
      <c r="B34" s="717"/>
      <c r="C34" s="717"/>
      <c r="D34" s="717"/>
      <c r="E34" s="717"/>
      <c r="F34" s="717"/>
      <c r="G34" s="717"/>
      <c r="H34" s="717"/>
      <c r="I34" s="717"/>
    </row>
    <row r="35" spans="1:9" s="107" customFormat="1">
      <c r="A35" s="662" t="s">
        <v>894</v>
      </c>
      <c r="B35" s="718"/>
      <c r="C35" s="718"/>
      <c r="D35" s="718"/>
      <c r="E35" s="718"/>
      <c r="F35" s="718"/>
      <c r="G35" s="718"/>
      <c r="H35" s="718"/>
      <c r="I35" s="718"/>
    </row>
    <row r="36" spans="1:9" s="107" customFormat="1" ht="15.75" customHeight="1">
      <c r="A36" s="668"/>
      <c r="B36" s="675" t="str">
        <f>+Начална!B17</f>
        <v>ОГНЯН ДОНЕВ</v>
      </c>
      <c r="C36" s="671"/>
      <c r="D36" s="671"/>
      <c r="E36" s="671"/>
      <c r="F36" s="671"/>
      <c r="G36" s="671"/>
      <c r="H36" s="671"/>
      <c r="I36" s="671"/>
    </row>
    <row r="37" spans="1:9" s="107" customFormat="1" ht="15.75" customHeight="1">
      <c r="A37" s="668"/>
      <c r="B37" s="671"/>
      <c r="C37" s="671"/>
      <c r="D37" s="671"/>
      <c r="E37" s="671"/>
      <c r="F37" s="671"/>
      <c r="G37" s="671"/>
      <c r="H37" s="671"/>
      <c r="I37" s="671"/>
    </row>
    <row r="38" spans="1:9" s="107" customFormat="1" ht="15.75" customHeight="1">
      <c r="A38" s="668"/>
      <c r="B38" s="671"/>
      <c r="C38" s="671"/>
      <c r="D38" s="671"/>
      <c r="E38" s="671"/>
      <c r="F38" s="671"/>
      <c r="G38" s="671"/>
      <c r="H38" s="671"/>
      <c r="I38" s="671"/>
    </row>
    <row r="39" spans="1:9" s="107" customFormat="1" ht="15.75" customHeight="1">
      <c r="A39" s="668"/>
      <c r="B39" s="671"/>
      <c r="C39" s="671"/>
      <c r="D39" s="671"/>
      <c r="E39" s="671"/>
      <c r="F39" s="671"/>
      <c r="G39" s="671"/>
      <c r="H39" s="671"/>
      <c r="I39" s="671"/>
    </row>
    <row r="40" spans="1:9" s="107" customFormat="1">
      <c r="A40" s="668"/>
      <c r="B40" s="671"/>
      <c r="C40" s="671"/>
      <c r="D40" s="671"/>
      <c r="E40" s="671"/>
      <c r="F40" s="671"/>
      <c r="G40" s="671"/>
      <c r="H40" s="671"/>
      <c r="I40" s="671"/>
    </row>
    <row r="41" spans="1:9" s="107" customFormat="1">
      <c r="A41" s="668"/>
      <c r="B41" s="671"/>
      <c r="C41" s="671"/>
      <c r="D41" s="671"/>
      <c r="E41" s="671"/>
      <c r="F41" s="671"/>
      <c r="G41" s="671"/>
      <c r="H41" s="671"/>
      <c r="I41" s="671"/>
    </row>
    <row r="42" spans="1:9" s="107" customFormat="1">
      <c r="A42" s="668"/>
      <c r="B42" s="671"/>
      <c r="C42" s="671"/>
      <c r="D42" s="671"/>
      <c r="E42" s="671"/>
      <c r="F42" s="671"/>
      <c r="G42" s="671"/>
      <c r="H42" s="671"/>
      <c r="I42" s="671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customSheetViews>
    <customSheetView guid="{3239EBCD-0009-49F8-9CD4-7149DE51B97F}" scale="85" showPageBreaks="1" fitToPage="1" view="pageBreakPreview" topLeftCell="B1">
      <selection activeCell="G21" sqref="G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1"/>
      <headerFooter alignWithMargins="0"/>
    </customSheetView>
    <customSheetView guid="{23BEE295-D922-43C3-8F5E-52A6C7961032}" fitToPage="1" topLeftCell="B1">
      <selection activeCell="F22" sqref="F2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2"/>
      <headerFooter alignWithMargins="0"/>
    </customSheetView>
    <customSheetView guid="{D5A9973C-5346-486A-9057-6F44650CE612}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r:id="rId3"/>
      <headerFooter alignWithMargins="0"/>
    </customSheetView>
  </customSheetViews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32</vt:i4>
      </vt:variant>
    </vt:vector>
  </HeadingPairs>
  <TitlesOfParts>
    <vt:vector size="46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 общо</vt:lpstr>
      <vt:lpstr>Справка 8 България</vt:lpstr>
      <vt:lpstr>Справка 8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Vladimir Papazov</cp:lastModifiedBy>
  <cp:lastPrinted>2022-08-23T08:52:05Z</cp:lastPrinted>
  <dcterms:created xsi:type="dcterms:W3CDTF">2006-09-16T00:00:00Z</dcterms:created>
  <dcterms:modified xsi:type="dcterms:W3CDTF">2022-08-23T09:02:16Z</dcterms:modified>
</cp:coreProperties>
</file>